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ăm 2025\nợ đọng xdcb\"/>
    </mc:Choice>
  </mc:AlternateContent>
  <xr:revisionPtr revIDLastSave="0" documentId="13_ncr:1_{9AF0DB3C-BEF5-4072-A84A-ADF986722C6E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Kangatang" sheetId="2" state="veryHidden" r:id="rId1"/>
    <sheet name="foxz" sheetId="3" state="veryHidden" r:id="rId2"/>
    <sheet name="Sheet1" sheetId="1" r:id="rId3"/>
  </sheets>
  <definedNames>
    <definedName name="_xlnm.Print_Titles" localSheetId="2">Sheet1!$4:$7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" i="1" l="1"/>
  <c r="AG8" i="1"/>
  <c r="AH8" i="1"/>
  <c r="AI8" i="1"/>
  <c r="AJ8" i="1"/>
  <c r="AK8" i="1"/>
  <c r="AL8" i="1"/>
  <c r="AM8" i="1"/>
  <c r="AN8" i="1"/>
  <c r="AO8" i="1"/>
  <c r="AP8" i="1"/>
  <c r="AA8" i="1"/>
  <c r="AB8" i="1"/>
  <c r="AC8" i="1"/>
  <c r="AD8" i="1"/>
  <c r="AE8" i="1"/>
  <c r="L87" i="1"/>
  <c r="AR87" i="1" s="1"/>
  <c r="P87" i="1"/>
  <c r="P143" i="1"/>
  <c r="U143" i="1"/>
  <c r="P71" i="1"/>
  <c r="L71" i="1" s="1"/>
  <c r="AR71" i="1" s="1"/>
  <c r="AR74" i="1"/>
  <c r="AR76" i="1"/>
  <c r="AR77" i="1"/>
  <c r="AR79" i="1"/>
  <c r="AR81" i="1"/>
  <c r="AR83" i="1"/>
  <c r="AR85" i="1"/>
  <c r="AR86" i="1"/>
  <c r="AR88" i="1"/>
  <c r="AR89" i="1"/>
  <c r="AR90" i="1"/>
  <c r="AR91" i="1"/>
  <c r="AR92" i="1"/>
  <c r="AR94" i="1"/>
  <c r="AR95" i="1"/>
  <c r="AR119" i="1"/>
  <c r="AS119" i="1" s="1"/>
  <c r="AR120" i="1"/>
  <c r="AS120" i="1" s="1"/>
  <c r="P136" i="1"/>
  <c r="L136" i="1" s="1"/>
  <c r="AR136" i="1" s="1"/>
  <c r="AS136" i="1" s="1"/>
  <c r="U136" i="1"/>
  <c r="Q136" i="1" s="1"/>
  <c r="P133" i="1"/>
  <c r="P132" i="1"/>
  <c r="Q133" i="1"/>
  <c r="Q134" i="1"/>
  <c r="Q132" i="1"/>
  <c r="P116" i="1"/>
  <c r="U115" i="1"/>
  <c r="Q115" i="1" s="1"/>
  <c r="U113" i="1"/>
  <c r="Q113" i="1" s="1"/>
  <c r="U107" i="1"/>
  <c r="Q107" i="1" s="1"/>
  <c r="P104" i="1"/>
  <c r="P105" i="1"/>
  <c r="P103" i="1"/>
  <c r="P102" i="1"/>
  <c r="P99" i="1"/>
  <c r="Q100" i="1"/>
  <c r="Q101" i="1"/>
  <c r="Q102" i="1"/>
  <c r="Q103" i="1"/>
  <c r="Q104" i="1"/>
  <c r="Q105" i="1"/>
  <c r="Q106" i="1"/>
  <c r="Q108" i="1"/>
  <c r="Q109" i="1"/>
  <c r="Q110" i="1"/>
  <c r="Q111" i="1"/>
  <c r="Q112" i="1"/>
  <c r="Q114" i="1"/>
  <c r="Q116" i="1"/>
  <c r="Q117" i="1"/>
  <c r="Q118" i="1"/>
  <c r="Q119" i="1"/>
  <c r="Q120" i="1"/>
  <c r="Q121" i="1"/>
  <c r="Q122" i="1"/>
  <c r="Q99" i="1"/>
  <c r="AS89" i="1" l="1"/>
  <c r="P69" i="1"/>
  <c r="L69" i="1" s="1"/>
  <c r="AR69" i="1" s="1"/>
  <c r="AS69" i="1" s="1"/>
  <c r="Q69" i="1"/>
  <c r="Q68" i="1" s="1"/>
  <c r="V143" i="1"/>
  <c r="W137" i="1"/>
  <c r="X137" i="1"/>
  <c r="Y137" i="1"/>
  <c r="W135" i="1"/>
  <c r="X135" i="1"/>
  <c r="Y135" i="1"/>
  <c r="Z135" i="1"/>
  <c r="V136" i="1"/>
  <c r="V135" i="1" s="1"/>
  <c r="W131" i="1"/>
  <c r="X131" i="1"/>
  <c r="Y131" i="1"/>
  <c r="V133" i="1"/>
  <c r="V134" i="1"/>
  <c r="V132" i="1"/>
  <c r="W123" i="1"/>
  <c r="X123" i="1"/>
  <c r="Y123" i="1"/>
  <c r="V126" i="1"/>
  <c r="V128" i="1"/>
  <c r="V130" i="1"/>
  <c r="V124" i="1"/>
  <c r="W98" i="1"/>
  <c r="X98" i="1"/>
  <c r="Y98" i="1"/>
  <c r="V111" i="1"/>
  <c r="V101" i="1"/>
  <c r="V102" i="1"/>
  <c r="V103" i="1"/>
  <c r="V104" i="1"/>
  <c r="V105" i="1"/>
  <c r="V107" i="1"/>
  <c r="V108" i="1"/>
  <c r="V113" i="1"/>
  <c r="V115" i="1"/>
  <c r="V116" i="1"/>
  <c r="V117" i="1"/>
  <c r="V118" i="1"/>
  <c r="V119" i="1"/>
  <c r="V120" i="1"/>
  <c r="V121" i="1"/>
  <c r="V122" i="1"/>
  <c r="V99" i="1"/>
  <c r="AS77" i="1"/>
  <c r="AS79" i="1"/>
  <c r="AS81" i="1"/>
  <c r="AS85" i="1"/>
  <c r="AS87" i="1"/>
  <c r="AS91" i="1"/>
  <c r="W73" i="1"/>
  <c r="X73" i="1"/>
  <c r="Y73" i="1"/>
  <c r="V74" i="1"/>
  <c r="V72" i="1"/>
  <c r="V71" i="1"/>
  <c r="W46" i="1"/>
  <c r="X46" i="1"/>
  <c r="Y46" i="1"/>
  <c r="Z46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47" i="1"/>
  <c r="W24" i="1"/>
  <c r="X24" i="1"/>
  <c r="Y24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10" i="1"/>
  <c r="F137" i="1"/>
  <c r="G137" i="1"/>
  <c r="H137" i="1"/>
  <c r="I137" i="1"/>
  <c r="J137" i="1"/>
  <c r="K137" i="1"/>
  <c r="M137" i="1"/>
  <c r="N137" i="1"/>
  <c r="O137" i="1"/>
  <c r="R137" i="1"/>
  <c r="S137" i="1"/>
  <c r="T137" i="1"/>
  <c r="F135" i="1"/>
  <c r="G135" i="1"/>
  <c r="H135" i="1"/>
  <c r="I135" i="1"/>
  <c r="J135" i="1"/>
  <c r="K135" i="1"/>
  <c r="L135" i="1"/>
  <c r="AR135" i="1" s="1"/>
  <c r="M135" i="1"/>
  <c r="N135" i="1"/>
  <c r="O135" i="1"/>
  <c r="P135" i="1"/>
  <c r="Q135" i="1"/>
  <c r="R135" i="1"/>
  <c r="S135" i="1"/>
  <c r="T135" i="1"/>
  <c r="U135" i="1"/>
  <c r="E135" i="1"/>
  <c r="F131" i="1"/>
  <c r="G131" i="1"/>
  <c r="I131" i="1"/>
  <c r="J131" i="1"/>
  <c r="K131" i="1"/>
  <c r="M131" i="1"/>
  <c r="N131" i="1"/>
  <c r="O131" i="1"/>
  <c r="Q131" i="1"/>
  <c r="R131" i="1"/>
  <c r="S131" i="1"/>
  <c r="T131" i="1"/>
  <c r="U131" i="1"/>
  <c r="E131" i="1"/>
  <c r="F123" i="1"/>
  <c r="G123" i="1"/>
  <c r="H123" i="1"/>
  <c r="I123" i="1"/>
  <c r="J123" i="1"/>
  <c r="K123" i="1"/>
  <c r="M123" i="1"/>
  <c r="N123" i="1"/>
  <c r="R123" i="1"/>
  <c r="S123" i="1"/>
  <c r="T123" i="1"/>
  <c r="U123" i="1"/>
  <c r="F98" i="1"/>
  <c r="G98" i="1"/>
  <c r="H98" i="1"/>
  <c r="J98" i="1"/>
  <c r="K98" i="1"/>
  <c r="M98" i="1"/>
  <c r="N98" i="1"/>
  <c r="O98" i="1"/>
  <c r="P98" i="1"/>
  <c r="R98" i="1"/>
  <c r="S98" i="1"/>
  <c r="T98" i="1"/>
  <c r="F73" i="1"/>
  <c r="G73" i="1"/>
  <c r="I73" i="1"/>
  <c r="J73" i="1"/>
  <c r="K73" i="1"/>
  <c r="M73" i="1"/>
  <c r="Q73" i="1"/>
  <c r="R73" i="1"/>
  <c r="S73" i="1"/>
  <c r="T73" i="1"/>
  <c r="E73" i="1"/>
  <c r="F70" i="1"/>
  <c r="G70" i="1"/>
  <c r="H70" i="1"/>
  <c r="I70" i="1"/>
  <c r="J70" i="1"/>
  <c r="K70" i="1"/>
  <c r="M70" i="1"/>
  <c r="N70" i="1"/>
  <c r="O70" i="1"/>
  <c r="P70" i="1"/>
  <c r="Q70" i="1"/>
  <c r="R70" i="1"/>
  <c r="S70" i="1"/>
  <c r="T70" i="1"/>
  <c r="U70" i="1"/>
  <c r="W70" i="1"/>
  <c r="X70" i="1"/>
  <c r="Y70" i="1"/>
  <c r="E70" i="1"/>
  <c r="F68" i="1"/>
  <c r="G68" i="1"/>
  <c r="H68" i="1"/>
  <c r="I68" i="1"/>
  <c r="J68" i="1"/>
  <c r="K68" i="1"/>
  <c r="M68" i="1"/>
  <c r="N68" i="1"/>
  <c r="O68" i="1"/>
  <c r="R68" i="1"/>
  <c r="S68" i="1"/>
  <c r="T68" i="1"/>
  <c r="U68" i="1"/>
  <c r="V68" i="1"/>
  <c r="W68" i="1"/>
  <c r="X68" i="1"/>
  <c r="Y68" i="1"/>
  <c r="Z68" i="1"/>
  <c r="E68" i="1"/>
  <c r="F46" i="1"/>
  <c r="G46" i="1"/>
  <c r="H46" i="1"/>
  <c r="I46" i="1"/>
  <c r="J46" i="1"/>
  <c r="K46" i="1"/>
  <c r="M46" i="1"/>
  <c r="N46" i="1"/>
  <c r="O46" i="1"/>
  <c r="P46" i="1"/>
  <c r="R46" i="1"/>
  <c r="S46" i="1"/>
  <c r="T46" i="1"/>
  <c r="U46" i="1"/>
  <c r="F24" i="1"/>
  <c r="G24" i="1"/>
  <c r="H24" i="1"/>
  <c r="I24" i="1"/>
  <c r="J24" i="1"/>
  <c r="K24" i="1"/>
  <c r="M24" i="1"/>
  <c r="N24" i="1"/>
  <c r="O24" i="1"/>
  <c r="R24" i="1"/>
  <c r="S24" i="1"/>
  <c r="T24" i="1"/>
  <c r="U24" i="1"/>
  <c r="F9" i="1"/>
  <c r="G9" i="1"/>
  <c r="H9" i="1"/>
  <c r="I9" i="1"/>
  <c r="J9" i="1"/>
  <c r="K9" i="1"/>
  <c r="M9" i="1"/>
  <c r="N9" i="1"/>
  <c r="O9" i="1"/>
  <c r="R9" i="1"/>
  <c r="S9" i="1"/>
  <c r="T9" i="1"/>
  <c r="U9" i="1"/>
  <c r="W9" i="1"/>
  <c r="X9" i="1"/>
  <c r="Y9" i="1"/>
  <c r="P68" i="1" l="1"/>
  <c r="AS94" i="1"/>
  <c r="AS71" i="1"/>
  <c r="AS95" i="1"/>
  <c r="AS76" i="1"/>
  <c r="AS83" i="1"/>
  <c r="AS90" i="1"/>
  <c r="AS135" i="1"/>
  <c r="AS74" i="1"/>
  <c r="AS86" i="1"/>
  <c r="AS88" i="1"/>
  <c r="AS92" i="1"/>
  <c r="V114" i="1"/>
  <c r="V70" i="1"/>
  <c r="L68" i="1"/>
  <c r="AR68" i="1" s="1"/>
  <c r="AS68" i="1" s="1"/>
  <c r="K8" i="1"/>
  <c r="G8" i="1"/>
  <c r="V46" i="1"/>
  <c r="Z123" i="1"/>
  <c r="V127" i="1"/>
  <c r="T8" i="1"/>
  <c r="R8" i="1"/>
  <c r="V109" i="1"/>
  <c r="S8" i="1"/>
  <c r="M8" i="1"/>
  <c r="J8" i="1"/>
  <c r="F8" i="1"/>
  <c r="V129" i="1"/>
  <c r="V125" i="1"/>
  <c r="X8" i="1"/>
  <c r="V96" i="1"/>
  <c r="V94" i="1"/>
  <c r="V92" i="1"/>
  <c r="V90" i="1"/>
  <c r="V88" i="1"/>
  <c r="V86" i="1"/>
  <c r="V78" i="1"/>
  <c r="V100" i="1"/>
  <c r="V106" i="1"/>
  <c r="V110" i="1"/>
  <c r="V112" i="1"/>
  <c r="Z98" i="1"/>
  <c r="Z70" i="1"/>
  <c r="V27" i="1"/>
  <c r="V81" i="1"/>
  <c r="V79" i="1"/>
  <c r="V77" i="1"/>
  <c r="V75" i="1"/>
  <c r="V97" i="1"/>
  <c r="V95" i="1"/>
  <c r="V91" i="1"/>
  <c r="V89" i="1"/>
  <c r="V87" i="1"/>
  <c r="V85" i="1"/>
  <c r="V83" i="1"/>
  <c r="V80" i="1"/>
  <c r="V76" i="1"/>
  <c r="V131" i="1"/>
  <c r="Y8" i="1"/>
  <c r="W8" i="1"/>
  <c r="Q153" i="1"/>
  <c r="L153" i="1"/>
  <c r="E153" i="1"/>
  <c r="Q152" i="1"/>
  <c r="L152" i="1"/>
  <c r="E152" i="1"/>
  <c r="Q151" i="1"/>
  <c r="L151" i="1"/>
  <c r="E151" i="1"/>
  <c r="Q150" i="1"/>
  <c r="L150" i="1"/>
  <c r="E150" i="1"/>
  <c r="Q149" i="1"/>
  <c r="L149" i="1"/>
  <c r="E149" i="1"/>
  <c r="Q148" i="1"/>
  <c r="L148" i="1"/>
  <c r="E148" i="1"/>
  <c r="Q147" i="1"/>
  <c r="L147" i="1"/>
  <c r="E147" i="1"/>
  <c r="Q146" i="1"/>
  <c r="L146" i="1"/>
  <c r="E146" i="1"/>
  <c r="Q145" i="1"/>
  <c r="L145" i="1"/>
  <c r="E145" i="1"/>
  <c r="Q144" i="1"/>
  <c r="L144" i="1"/>
  <c r="E144" i="1"/>
  <c r="Q143" i="1"/>
  <c r="L143" i="1"/>
  <c r="E143" i="1"/>
  <c r="Q142" i="1"/>
  <c r="L142" i="1"/>
  <c r="E142" i="1"/>
  <c r="Q141" i="1"/>
  <c r="L141" i="1"/>
  <c r="E141" i="1"/>
  <c r="U140" i="1"/>
  <c r="P140" i="1"/>
  <c r="E140" i="1"/>
  <c r="Q139" i="1"/>
  <c r="L139" i="1"/>
  <c r="E139" i="1"/>
  <c r="Q138" i="1"/>
  <c r="L138" i="1"/>
  <c r="E138" i="1"/>
  <c r="AR138" i="1" l="1"/>
  <c r="AR142" i="1"/>
  <c r="AS142" i="1" s="1"/>
  <c r="AR144" i="1"/>
  <c r="AR146" i="1"/>
  <c r="AR148" i="1"/>
  <c r="AR150" i="1"/>
  <c r="AR152" i="1"/>
  <c r="AR139" i="1"/>
  <c r="AR141" i="1"/>
  <c r="AR145" i="1"/>
  <c r="AR147" i="1"/>
  <c r="AR149" i="1"/>
  <c r="AR151" i="1"/>
  <c r="AR153" i="1"/>
  <c r="AR143" i="1"/>
  <c r="AS143" i="1" s="1"/>
  <c r="P137" i="1"/>
  <c r="E137" i="1"/>
  <c r="V98" i="1"/>
  <c r="V123" i="1"/>
  <c r="Q140" i="1"/>
  <c r="Q137" i="1" s="1"/>
  <c r="U137" i="1"/>
  <c r="AS148" i="1"/>
  <c r="AS152" i="1"/>
  <c r="L140" i="1"/>
  <c r="AR140" i="1" l="1"/>
  <c r="AS139" i="1"/>
  <c r="AS150" i="1"/>
  <c r="AS144" i="1"/>
  <c r="AS153" i="1"/>
  <c r="AS149" i="1"/>
  <c r="AS145" i="1"/>
  <c r="V149" i="1"/>
  <c r="AS146" i="1"/>
  <c r="AS141" i="1"/>
  <c r="V139" i="1"/>
  <c r="AS138" i="1"/>
  <c r="V152" i="1"/>
  <c r="V150" i="1"/>
  <c r="V148" i="1"/>
  <c r="V144" i="1"/>
  <c r="V142" i="1"/>
  <c r="L137" i="1"/>
  <c r="AR137" i="1" s="1"/>
  <c r="V145" i="1" l="1"/>
  <c r="V153" i="1"/>
  <c r="V147" i="1"/>
  <c r="AS147" i="1"/>
  <c r="V151" i="1"/>
  <c r="AS151" i="1"/>
  <c r="AS140" i="1"/>
  <c r="V141" i="1"/>
  <c r="V140" i="1"/>
  <c r="V146" i="1"/>
  <c r="V138" i="1"/>
  <c r="Z137" i="1"/>
  <c r="AS137" i="1" s="1"/>
  <c r="L134" i="1"/>
  <c r="H134" i="1"/>
  <c r="H133" i="1"/>
  <c r="H132" i="1"/>
  <c r="AR134" i="1" l="1"/>
  <c r="AS134" i="1" s="1"/>
  <c r="H131" i="1"/>
  <c r="V137" i="1"/>
  <c r="L133" i="1"/>
  <c r="L132" i="1"/>
  <c r="P131" i="1"/>
  <c r="AR132" i="1" l="1"/>
  <c r="AS132" i="1" s="1"/>
  <c r="AR133" i="1"/>
  <c r="AS133" i="1" s="1"/>
  <c r="L131" i="1"/>
  <c r="AR131" i="1" s="1"/>
  <c r="AS131" i="1" s="1"/>
  <c r="Q130" i="1"/>
  <c r="L130" i="1"/>
  <c r="AR130" i="1" s="1"/>
  <c r="AS130" i="1" s="1"/>
  <c r="E130" i="1"/>
  <c r="Q129" i="1"/>
  <c r="P129" i="1"/>
  <c r="O129" i="1"/>
  <c r="O123" i="1" s="1"/>
  <c r="E129" i="1"/>
  <c r="Q128" i="1"/>
  <c r="L128" i="1"/>
  <c r="AR128" i="1" s="1"/>
  <c r="AS128" i="1" s="1"/>
  <c r="E128" i="1"/>
  <c r="Q127" i="1"/>
  <c r="L127" i="1"/>
  <c r="AR127" i="1" s="1"/>
  <c r="AS127" i="1" s="1"/>
  <c r="E127" i="1"/>
  <c r="Q126" i="1"/>
  <c r="L126" i="1"/>
  <c r="AR126" i="1" s="1"/>
  <c r="AS126" i="1" s="1"/>
  <c r="E126" i="1"/>
  <c r="Q125" i="1"/>
  <c r="P125" i="1"/>
  <c r="E125" i="1"/>
  <c r="Q124" i="1"/>
  <c r="P124" i="1"/>
  <c r="E124" i="1"/>
  <c r="L125" i="1" l="1"/>
  <c r="AR125" i="1" s="1"/>
  <c r="AS125" i="1" s="1"/>
  <c r="E123" i="1"/>
  <c r="Q123" i="1"/>
  <c r="L124" i="1"/>
  <c r="AR124" i="1" s="1"/>
  <c r="AS124" i="1" s="1"/>
  <c r="P123" i="1"/>
  <c r="L129" i="1"/>
  <c r="AR129" i="1" s="1"/>
  <c r="AS129" i="1" s="1"/>
  <c r="L123" i="1" l="1"/>
  <c r="AR123" i="1" s="1"/>
  <c r="AS123" i="1" s="1"/>
  <c r="L122" i="1"/>
  <c r="AR122" i="1" s="1"/>
  <c r="AS122" i="1" s="1"/>
  <c r="I122" i="1"/>
  <c r="E122" i="1" s="1"/>
  <c r="L121" i="1"/>
  <c r="AR121" i="1" s="1"/>
  <c r="AS121" i="1" s="1"/>
  <c r="I121" i="1"/>
  <c r="L118" i="1"/>
  <c r="AR118" i="1" s="1"/>
  <c r="AS118" i="1" s="1"/>
  <c r="E118" i="1"/>
  <c r="L117" i="1"/>
  <c r="AR117" i="1" s="1"/>
  <c r="AS117" i="1" s="1"/>
  <c r="E117" i="1"/>
  <c r="L116" i="1"/>
  <c r="AR116" i="1" s="1"/>
  <c r="AS116" i="1" s="1"/>
  <c r="E116" i="1"/>
  <c r="L115" i="1"/>
  <c r="AR115" i="1" s="1"/>
  <c r="AS115" i="1" s="1"/>
  <c r="E115" i="1"/>
  <c r="L114" i="1"/>
  <c r="AR114" i="1" s="1"/>
  <c r="AS114" i="1" s="1"/>
  <c r="E114" i="1"/>
  <c r="L113" i="1"/>
  <c r="AR113" i="1" s="1"/>
  <c r="AS113" i="1" s="1"/>
  <c r="E113" i="1"/>
  <c r="L112" i="1"/>
  <c r="AR112" i="1" s="1"/>
  <c r="AS112" i="1" s="1"/>
  <c r="E112" i="1"/>
  <c r="L111" i="1"/>
  <c r="AR111" i="1" s="1"/>
  <c r="AS111" i="1" s="1"/>
  <c r="E111" i="1"/>
  <c r="L110" i="1"/>
  <c r="AR110" i="1" s="1"/>
  <c r="AS110" i="1" s="1"/>
  <c r="E110" i="1"/>
  <c r="L109" i="1"/>
  <c r="AR109" i="1" s="1"/>
  <c r="AS109" i="1" s="1"/>
  <c r="E109" i="1"/>
  <c r="L108" i="1"/>
  <c r="AR108" i="1" s="1"/>
  <c r="AS108" i="1" s="1"/>
  <c r="E108" i="1"/>
  <c r="L107" i="1"/>
  <c r="AR107" i="1" s="1"/>
  <c r="AS107" i="1" s="1"/>
  <c r="E107" i="1"/>
  <c r="L106" i="1"/>
  <c r="AR106" i="1" s="1"/>
  <c r="AS106" i="1" s="1"/>
  <c r="E106" i="1"/>
  <c r="L105" i="1"/>
  <c r="AR105" i="1" s="1"/>
  <c r="AS105" i="1" s="1"/>
  <c r="E105" i="1"/>
  <c r="L104" i="1"/>
  <c r="AR104" i="1" s="1"/>
  <c r="AS104" i="1" s="1"/>
  <c r="E104" i="1"/>
  <c r="L103" i="1"/>
  <c r="AR103" i="1" s="1"/>
  <c r="AS103" i="1" s="1"/>
  <c r="E103" i="1"/>
  <c r="L102" i="1"/>
  <c r="AR102" i="1" s="1"/>
  <c r="AS102" i="1" s="1"/>
  <c r="E102" i="1"/>
  <c r="L101" i="1"/>
  <c r="AR101" i="1" s="1"/>
  <c r="AS101" i="1" s="1"/>
  <c r="E101" i="1"/>
  <c r="L100" i="1"/>
  <c r="AR100" i="1" s="1"/>
  <c r="AS100" i="1" s="1"/>
  <c r="E100" i="1"/>
  <c r="L99" i="1"/>
  <c r="AR99" i="1" s="1"/>
  <c r="AS99" i="1" s="1"/>
  <c r="E99" i="1"/>
  <c r="L98" i="1" l="1"/>
  <c r="AR98" i="1" s="1"/>
  <c r="AS98" i="1" s="1"/>
  <c r="U98" i="1"/>
  <c r="E121" i="1"/>
  <c r="E98" i="1" s="1"/>
  <c r="I98" i="1"/>
  <c r="I8" i="1" s="1"/>
  <c r="Q98" i="1"/>
  <c r="N97" i="1" l="1"/>
  <c r="L97" i="1"/>
  <c r="AR97" i="1" s="1"/>
  <c r="AS97" i="1" s="1"/>
  <c r="L96" i="1"/>
  <c r="AR96" i="1" s="1"/>
  <c r="AS96" i="1" s="1"/>
  <c r="L93" i="1"/>
  <c r="AR93" i="1" s="1"/>
  <c r="N87" i="1"/>
  <c r="N73" i="1" s="1"/>
  <c r="N8" i="1" s="1"/>
  <c r="U84" i="1"/>
  <c r="P84" i="1"/>
  <c r="L82" i="1"/>
  <c r="AR82" i="1" s="1"/>
  <c r="L80" i="1"/>
  <c r="AR80" i="1" s="1"/>
  <c r="AS80" i="1" s="1"/>
  <c r="U78" i="1"/>
  <c r="P78" i="1"/>
  <c r="O78" i="1"/>
  <c r="O73" i="1" s="1"/>
  <c r="O8" i="1" s="1"/>
  <c r="L78" i="1"/>
  <c r="AR78" i="1" s="1"/>
  <c r="AS78" i="1" s="1"/>
  <c r="H78" i="1"/>
  <c r="H77" i="1"/>
  <c r="H76" i="1"/>
  <c r="U75" i="1"/>
  <c r="P75" i="1"/>
  <c r="H75" i="1"/>
  <c r="H74" i="1"/>
  <c r="H73" i="1" l="1"/>
  <c r="H8" i="1" s="1"/>
  <c r="L84" i="1"/>
  <c r="AR84" i="1" s="1"/>
  <c r="U73" i="1"/>
  <c r="U8" i="1" s="1"/>
  <c r="AS82" i="1"/>
  <c r="L75" i="1"/>
  <c r="P73" i="1"/>
  <c r="AS84" i="1" l="1"/>
  <c r="L73" i="1"/>
  <c r="AR73" i="1" s="1"/>
  <c r="AR75" i="1"/>
  <c r="AS75" i="1" s="1"/>
  <c r="AS93" i="1"/>
  <c r="V84" i="1"/>
  <c r="V93" i="1"/>
  <c r="Z73" i="1"/>
  <c r="V82" i="1"/>
  <c r="L72" i="1"/>
  <c r="V73" i="1" l="1"/>
  <c r="AS73" i="1"/>
  <c r="L70" i="1"/>
  <c r="AR70" i="1" s="1"/>
  <c r="AS70" i="1" s="1"/>
  <c r="AR72" i="1"/>
  <c r="AS72" i="1" s="1"/>
  <c r="Q45" i="1"/>
  <c r="P45" i="1"/>
  <c r="L45" i="1" s="1"/>
  <c r="E45" i="1"/>
  <c r="Q44" i="1"/>
  <c r="P44" i="1"/>
  <c r="L44" i="1" s="1"/>
  <c r="E44" i="1"/>
  <c r="Q43" i="1"/>
  <c r="P43" i="1"/>
  <c r="L43" i="1" s="1"/>
  <c r="E43" i="1"/>
  <c r="Q42" i="1"/>
  <c r="L42" i="1"/>
  <c r="E42" i="1"/>
  <c r="Q41" i="1"/>
  <c r="P41" i="1"/>
  <c r="L41" i="1" s="1"/>
  <c r="E41" i="1"/>
  <c r="Q40" i="1"/>
  <c r="L40" i="1"/>
  <c r="E40" i="1"/>
  <c r="Q39" i="1"/>
  <c r="L39" i="1"/>
  <c r="E39" i="1"/>
  <c r="Q38" i="1"/>
  <c r="P38" i="1"/>
  <c r="L38" i="1" s="1"/>
  <c r="E38" i="1"/>
  <c r="Q37" i="1"/>
  <c r="L37" i="1"/>
  <c r="E37" i="1"/>
  <c r="Q36" i="1"/>
  <c r="P36" i="1"/>
  <c r="L36" i="1" s="1"/>
  <c r="E36" i="1"/>
  <c r="Q35" i="1"/>
  <c r="L35" i="1"/>
  <c r="E35" i="1"/>
  <c r="Q34" i="1"/>
  <c r="L34" i="1"/>
  <c r="E34" i="1"/>
  <c r="Q33" i="1"/>
  <c r="P33" i="1"/>
  <c r="L33" i="1" s="1"/>
  <c r="E33" i="1"/>
  <c r="Q32" i="1"/>
  <c r="P32" i="1"/>
  <c r="L32" i="1" s="1"/>
  <c r="E32" i="1"/>
  <c r="Q31" i="1"/>
  <c r="P31" i="1"/>
  <c r="L31" i="1" s="1"/>
  <c r="E31" i="1"/>
  <c r="Q30" i="1"/>
  <c r="P30" i="1"/>
  <c r="L30" i="1" s="1"/>
  <c r="E30" i="1"/>
  <c r="Q29" i="1"/>
  <c r="P29" i="1"/>
  <c r="L29" i="1" s="1"/>
  <c r="E29" i="1"/>
  <c r="Q28" i="1"/>
  <c r="P28" i="1"/>
  <c r="L28" i="1" s="1"/>
  <c r="E28" i="1"/>
  <c r="Q27" i="1"/>
  <c r="P27" i="1"/>
  <c r="E27" i="1"/>
  <c r="Q26" i="1"/>
  <c r="L26" i="1"/>
  <c r="E26" i="1"/>
  <c r="Q25" i="1"/>
  <c r="L25" i="1"/>
  <c r="E25" i="1"/>
  <c r="AR25" i="1" l="1"/>
  <c r="AR29" i="1"/>
  <c r="AR31" i="1"/>
  <c r="AR33" i="1"/>
  <c r="AR35" i="1"/>
  <c r="AR37" i="1"/>
  <c r="AR39" i="1"/>
  <c r="AR41" i="1"/>
  <c r="AR43" i="1"/>
  <c r="AR45" i="1"/>
  <c r="AR26" i="1"/>
  <c r="AR28" i="1"/>
  <c r="AR30" i="1"/>
  <c r="AR32" i="1"/>
  <c r="AR34" i="1"/>
  <c r="AR36" i="1"/>
  <c r="AR38" i="1"/>
  <c r="AR40" i="1"/>
  <c r="AR42" i="1"/>
  <c r="AR44" i="1"/>
  <c r="E24" i="1"/>
  <c r="Q24" i="1"/>
  <c r="L27" i="1"/>
  <c r="AR27" i="1" s="1"/>
  <c r="AS27" i="1" s="1"/>
  <c r="P24" i="1"/>
  <c r="L24" i="1" l="1"/>
  <c r="AR24" i="1" s="1"/>
  <c r="AS41" i="1"/>
  <c r="AS43" i="1"/>
  <c r="AS42" i="1"/>
  <c r="AS37" i="1"/>
  <c r="AS45" i="1"/>
  <c r="AS40" i="1"/>
  <c r="AS32" i="1"/>
  <c r="AS28" i="1"/>
  <c r="AS38" i="1"/>
  <c r="AS44" i="1"/>
  <c r="AS34" i="1"/>
  <c r="AS25" i="1"/>
  <c r="AS36" i="1"/>
  <c r="AS30" i="1"/>
  <c r="AS26" i="1"/>
  <c r="AS31" i="1" l="1"/>
  <c r="AS29" i="1"/>
  <c r="AS39" i="1"/>
  <c r="AS35" i="1"/>
  <c r="AS33" i="1"/>
  <c r="V30" i="1"/>
  <c r="V34" i="1"/>
  <c r="V38" i="1"/>
  <c r="V32" i="1"/>
  <c r="V45" i="1"/>
  <c r="V37" i="1"/>
  <c r="V42" i="1"/>
  <c r="V41" i="1"/>
  <c r="V26" i="1"/>
  <c r="V35" i="1"/>
  <c r="V31" i="1"/>
  <c r="V36" i="1"/>
  <c r="V44" i="1"/>
  <c r="V28" i="1"/>
  <c r="V29" i="1"/>
  <c r="V33" i="1"/>
  <c r="V39" i="1"/>
  <c r="V40" i="1"/>
  <c r="V43" i="1"/>
  <c r="Z24" i="1"/>
  <c r="AS24" i="1" s="1"/>
  <c r="V25" i="1"/>
  <c r="Q23" i="1"/>
  <c r="L23" i="1"/>
  <c r="E23" i="1"/>
  <c r="Q22" i="1"/>
  <c r="P22" i="1"/>
  <c r="E22" i="1"/>
  <c r="Q21" i="1"/>
  <c r="L21" i="1"/>
  <c r="E21" i="1"/>
  <c r="Q20" i="1"/>
  <c r="P20" i="1"/>
  <c r="E20" i="1"/>
  <c r="Q19" i="1"/>
  <c r="P19" i="1"/>
  <c r="E19" i="1"/>
  <c r="Q18" i="1"/>
  <c r="P18" i="1"/>
  <c r="E18" i="1"/>
  <c r="Q17" i="1"/>
  <c r="P17" i="1"/>
  <c r="E17" i="1"/>
  <c r="Q16" i="1"/>
  <c r="P16" i="1"/>
  <c r="E16" i="1"/>
  <c r="Q15" i="1"/>
  <c r="P15" i="1"/>
  <c r="Q14" i="1"/>
  <c r="P14" i="1"/>
  <c r="E14" i="1"/>
  <c r="Q13" i="1"/>
  <c r="P13" i="1"/>
  <c r="E13" i="1"/>
  <c r="Q12" i="1"/>
  <c r="P12" i="1"/>
  <c r="E12" i="1"/>
  <c r="V9" i="1"/>
  <c r="Q11" i="1"/>
  <c r="P11" i="1"/>
  <c r="E11" i="1"/>
  <c r="Q10" i="1"/>
  <c r="P10" i="1"/>
  <c r="E10" i="1"/>
  <c r="E9" i="1" l="1"/>
  <c r="Q9" i="1"/>
  <c r="AR21" i="1"/>
  <c r="AS21" i="1" s="1"/>
  <c r="AR23" i="1"/>
  <c r="AS23" i="1" s="1"/>
  <c r="L11" i="1"/>
  <c r="L12" i="1"/>
  <c r="L14" i="1"/>
  <c r="L15" i="1"/>
  <c r="L17" i="1"/>
  <c r="L19" i="1"/>
  <c r="L13" i="1"/>
  <c r="L16" i="1"/>
  <c r="L18" i="1"/>
  <c r="L20" i="1"/>
  <c r="L22" i="1"/>
  <c r="V24" i="1"/>
  <c r="V8" i="1" s="1"/>
  <c r="L10" i="1"/>
  <c r="P9" i="1"/>
  <c r="P8" i="1" s="1"/>
  <c r="Z9" i="1"/>
  <c r="AR10" i="1" l="1"/>
  <c r="AS10" i="1" s="1"/>
  <c r="AR22" i="1"/>
  <c r="AS22" i="1" s="1"/>
  <c r="AR18" i="1"/>
  <c r="AS18" i="1" s="1"/>
  <c r="AR13" i="1"/>
  <c r="AS13" i="1" s="1"/>
  <c r="AR17" i="1"/>
  <c r="AS17" i="1" s="1"/>
  <c r="AR14" i="1"/>
  <c r="AS14" i="1" s="1"/>
  <c r="AR11" i="1"/>
  <c r="AS11" i="1" s="1"/>
  <c r="AR20" i="1"/>
  <c r="AS20" i="1" s="1"/>
  <c r="AR16" i="1"/>
  <c r="AS16" i="1" s="1"/>
  <c r="AR19" i="1"/>
  <c r="AS19" i="1" s="1"/>
  <c r="AR15" i="1"/>
  <c r="AS15" i="1" s="1"/>
  <c r="AR12" i="1"/>
  <c r="AS12" i="1" s="1"/>
  <c r="Z8" i="1"/>
  <c r="L9" i="1"/>
  <c r="AR9" i="1" s="1"/>
  <c r="AS9" i="1" s="1"/>
  <c r="AU67" i="1"/>
  <c r="AT67" i="1"/>
  <c r="Q67" i="1"/>
  <c r="L67" i="1"/>
  <c r="E67" i="1"/>
  <c r="AU66" i="1"/>
  <c r="AT66" i="1"/>
  <c r="Q66" i="1"/>
  <c r="L66" i="1"/>
  <c r="E66" i="1"/>
  <c r="AU65" i="1"/>
  <c r="AT65" i="1"/>
  <c r="Q65" i="1"/>
  <c r="L65" i="1"/>
  <c r="E65" i="1"/>
  <c r="AU64" i="1"/>
  <c r="AT64" i="1"/>
  <c r="Q64" i="1"/>
  <c r="L64" i="1"/>
  <c r="E64" i="1"/>
  <c r="AU63" i="1"/>
  <c r="AT63" i="1"/>
  <c r="Q63" i="1"/>
  <c r="L63" i="1"/>
  <c r="E63" i="1"/>
  <c r="AU62" i="1"/>
  <c r="AT62" i="1"/>
  <c r="Q62" i="1"/>
  <c r="L62" i="1"/>
  <c r="E62" i="1"/>
  <c r="AU61" i="1"/>
  <c r="AT61" i="1"/>
  <c r="Q61" i="1"/>
  <c r="L61" i="1"/>
  <c r="E61" i="1"/>
  <c r="AU60" i="1"/>
  <c r="AT60" i="1"/>
  <c r="Q60" i="1"/>
  <c r="L60" i="1"/>
  <c r="E60" i="1"/>
  <c r="AU59" i="1"/>
  <c r="AT59" i="1"/>
  <c r="Q59" i="1"/>
  <c r="L59" i="1"/>
  <c r="E59" i="1"/>
  <c r="AU58" i="1"/>
  <c r="AT58" i="1"/>
  <c r="Q58" i="1"/>
  <c r="L58" i="1"/>
  <c r="E58" i="1"/>
  <c r="AU57" i="1"/>
  <c r="AT57" i="1"/>
  <c r="Q57" i="1"/>
  <c r="L57" i="1"/>
  <c r="E57" i="1"/>
  <c r="AU56" i="1"/>
  <c r="AT56" i="1"/>
  <c r="Q56" i="1"/>
  <c r="L56" i="1"/>
  <c r="E56" i="1"/>
  <c r="AU55" i="1"/>
  <c r="AT55" i="1"/>
  <c r="Q55" i="1"/>
  <c r="L55" i="1"/>
  <c r="E55" i="1"/>
  <c r="AU54" i="1"/>
  <c r="AT54" i="1"/>
  <c r="Q54" i="1"/>
  <c r="L54" i="1"/>
  <c r="E54" i="1"/>
  <c r="AU53" i="1"/>
  <c r="AT53" i="1"/>
  <c r="Q53" i="1"/>
  <c r="L53" i="1"/>
  <c r="E53" i="1"/>
  <c r="AU52" i="1"/>
  <c r="AT52" i="1"/>
  <c r="Q52" i="1"/>
  <c r="L52" i="1"/>
  <c r="E52" i="1"/>
  <c r="AU51" i="1"/>
  <c r="AT51" i="1"/>
  <c r="Q51" i="1"/>
  <c r="L51" i="1"/>
  <c r="E51" i="1"/>
  <c r="AU50" i="1"/>
  <c r="AT50" i="1"/>
  <c r="Q50" i="1"/>
  <c r="L50" i="1"/>
  <c r="E50" i="1"/>
  <c r="AU49" i="1"/>
  <c r="AT49" i="1"/>
  <c r="Q49" i="1"/>
  <c r="L49" i="1"/>
  <c r="E49" i="1"/>
  <c r="AU48" i="1"/>
  <c r="AT48" i="1"/>
  <c r="Q48" i="1"/>
  <c r="L48" i="1"/>
  <c r="E48" i="1"/>
  <c r="AU47" i="1"/>
  <c r="AT47" i="1"/>
  <c r="Q47" i="1"/>
  <c r="L47" i="1"/>
  <c r="E47" i="1"/>
  <c r="AR48" i="1" l="1"/>
  <c r="AS48" i="1" s="1"/>
  <c r="AR50" i="1"/>
  <c r="AS50" i="1" s="1"/>
  <c r="AR52" i="1"/>
  <c r="AS52" i="1" s="1"/>
  <c r="AR54" i="1"/>
  <c r="AS54" i="1" s="1"/>
  <c r="AR56" i="1"/>
  <c r="AS56" i="1" s="1"/>
  <c r="AR58" i="1"/>
  <c r="AS58" i="1" s="1"/>
  <c r="AR60" i="1"/>
  <c r="AS60" i="1" s="1"/>
  <c r="AR62" i="1"/>
  <c r="AS62" i="1" s="1"/>
  <c r="AR64" i="1"/>
  <c r="AS64" i="1" s="1"/>
  <c r="AR66" i="1"/>
  <c r="AS66" i="1" s="1"/>
  <c r="AR47" i="1"/>
  <c r="AS47" i="1" s="1"/>
  <c r="AR49" i="1"/>
  <c r="AS49" i="1" s="1"/>
  <c r="AR51" i="1"/>
  <c r="AS51" i="1" s="1"/>
  <c r="AR53" i="1"/>
  <c r="AS53" i="1" s="1"/>
  <c r="AR55" i="1"/>
  <c r="AS55" i="1" s="1"/>
  <c r="AR57" i="1"/>
  <c r="AS57" i="1" s="1"/>
  <c r="AR59" i="1"/>
  <c r="AS59" i="1" s="1"/>
  <c r="AR61" i="1"/>
  <c r="AS61" i="1" s="1"/>
  <c r="AR63" i="1"/>
  <c r="AS63" i="1" s="1"/>
  <c r="AR65" i="1"/>
  <c r="AS65" i="1" s="1"/>
  <c r="AR67" i="1"/>
  <c r="AS67" i="1" s="1"/>
  <c r="E46" i="1"/>
  <c r="E8" i="1" s="1"/>
  <c r="Q46" i="1"/>
  <c r="Q8" i="1" s="1"/>
  <c r="L46" i="1"/>
  <c r="AR46" i="1" s="1"/>
  <c r="AS46" i="1" s="1"/>
  <c r="L8" i="1" l="1"/>
  <c r="AR8" i="1" s="1"/>
  <c r="AS8" i="1" s="1"/>
</calcChain>
</file>

<file path=xl/sharedStrings.xml><?xml version="1.0" encoding="utf-8"?>
<sst xmlns="http://schemas.openxmlformats.org/spreadsheetml/2006/main" count="501" uniqueCount="420">
  <si>
    <t>TT</t>
  </si>
  <si>
    <t>Danh mục dự án</t>
  </si>
  <si>
    <t>Tổng mức đầu tư được duyệt</t>
  </si>
  <si>
    <t>Quyết định phê duyệt dự án (số; ngày, tháng, năm)</t>
  </si>
  <si>
    <t>Quyết định phê duyệt quyết toán (số; ngày, tháng, năm)</t>
  </si>
  <si>
    <t>Tổng số</t>
  </si>
  <si>
    <t>Trong đó:</t>
  </si>
  <si>
    <t>NSTW</t>
  </si>
  <si>
    <t>NS tỉnh</t>
  </si>
  <si>
    <t>NS cấp huyện</t>
  </si>
  <si>
    <t>TỔNG SỐ</t>
  </si>
  <si>
    <t xml:space="preserve">Tổng số </t>
  </si>
  <si>
    <t>Đ xã: Tuyến nhà ông Biết- Khu 7 Vĩnh Tuy</t>
  </si>
  <si>
    <t>1396/ QĐ-UBND ngày 25/9/2019</t>
  </si>
  <si>
    <t>463/ QĐ-UBND ngày 31/12/2020</t>
  </si>
  <si>
    <t>Nhà văn hóa, sân thể thao thôn Vĩnh Tuy</t>
  </si>
  <si>
    <t>468/ QĐ-UBND ngày 31/12/2020</t>
  </si>
  <si>
    <t>Nhà văn hóa, sân thể thao thôn Tấn Lộc</t>
  </si>
  <si>
    <t>471/ QĐ-UBND ngày 31/12/2020</t>
  </si>
  <si>
    <t>Nhà văn hóa, sân thể thao thôn Châu Me</t>
  </si>
  <si>
    <t>470/ QĐ-UBND ngày 31/12/2020</t>
  </si>
  <si>
    <t>Nhà văn hóa, sân thể thao thôn Hưng Long</t>
  </si>
  <si>
    <t>469/ QĐ-UBND ngày 31/12/2020</t>
  </si>
  <si>
    <t>Kênh dọc đường nội đông N3 thôn Tấn Lộc</t>
  </si>
  <si>
    <t>475/ QĐ-UBND ngày 31/12/2020</t>
  </si>
  <si>
    <t>Đ thôn: Tuyến ngõ ông Ngô- cầu bà Tấu ( gđ 2)</t>
  </si>
  <si>
    <t>476/ QĐ-UBND ngày 15/3/2021</t>
  </si>
  <si>
    <t>Kênh nhà ông tiến- mương Bàu, thôn Châu Me</t>
  </si>
  <si>
    <t>477/ QĐ-UBND ngày 31/12/2020</t>
  </si>
  <si>
    <t>Sân vận động xã Phổ Châu</t>
  </si>
  <si>
    <t>61/ QĐ-UBND ngày 15/3/2021</t>
  </si>
  <si>
    <t>Đ xã: Tuyến QL1A- Đập Hố Vừng</t>
  </si>
  <si>
    <t>63/ QĐ-UBND ngày 15/3/2021</t>
  </si>
  <si>
    <t>Kênh Đập Hố Vừng- Ruộng Nguyệt ( gđ 3) Hưng Long</t>
  </si>
  <si>
    <t>465/ QĐ-UBND ngày 31/12/2020</t>
  </si>
  <si>
    <t>Đ xã: BTXM tuyến QL1A- Bãi biển Châu Me ( đoạn từ đường huyện ĐH.52- Nghĩa trang Liệt sĩ)</t>
  </si>
  <si>
    <t>473/ QĐ-UBND ngày 31/12/2020</t>
  </si>
  <si>
    <t>Đường xã: Tuyến ngõ ông Anh- Đèo Bình Đê ( thôn Vĩnh Tuy)</t>
  </si>
  <si>
    <t>871/ QĐ-UBND  15/10/2018</t>
  </si>
  <si>
    <t>220/ QĐ-UBND  31/12/2019</t>
  </si>
  <si>
    <t>Kênh tiêu Cống gò Mướp đi Cầu Cháy ( dọc theo QL)</t>
  </si>
  <si>
    <t>222/ QĐ-UBND ngày 18/2/2019</t>
  </si>
  <si>
    <t>2120/ QĐ-UBND  21/7/2020</t>
  </si>
  <si>
    <t>Kênh Cống Gò Mướp- Giếng Bực Tấn Lộc</t>
  </si>
  <si>
    <t>472/ QĐ-UBND ngày 31/12/2020</t>
  </si>
  <si>
    <t>Đ thôn: Tuyến GTNT khu 2- khu 4 ( dọc kênh tiêu) thôn Tấn Lộc</t>
  </si>
  <si>
    <t>2124/ QĐ-UBND ngày 31/12/2019</t>
  </si>
  <si>
    <t>474/ QĐ-UBND ngày 31/12/2020</t>
  </si>
  <si>
    <t xml:space="preserve"> Kênh Ruộng Bà Quế- Kênh N2- Đạp Làng Tấn Lộc</t>
  </si>
  <si>
    <t>466/ QĐ-UBND ngày 31/12/2020</t>
  </si>
  <si>
    <t>Kênh từ Đầm Bèo- Bãi Lố thôn Vĩnh Tuy</t>
  </si>
  <si>
    <t>66/ QĐ-UBND ngày 15/3/2021</t>
  </si>
  <si>
    <t>Kênh N6 Hồ Cây Sanh thôn Châu Me</t>
  </si>
  <si>
    <t>65/ QĐ-UBND ngày 15/3/2021</t>
  </si>
  <si>
    <t>Trường mầm non thôn Vĩnh Tuy</t>
  </si>
  <si>
    <t>62/ QĐ-UBND ngày 15/3/2021</t>
  </si>
  <si>
    <t>Nhà hiệu bộ Trường Tiểu học và THCS Phổ Châu</t>
  </si>
  <si>
    <t>64/ QĐ-UBND ngày 15/3/2021</t>
  </si>
  <si>
    <t>Nguồn NS xã</t>
  </si>
  <si>
    <t>Xã Phổ Châu</t>
  </si>
  <si>
    <t>B.4</t>
  </si>
  <si>
    <t>UBND phường Nguyễn Nghiêm</t>
  </si>
  <si>
    <t xml:space="preserve">Đường giao thông nội bộ KDC phía Tây Nhà máy nước </t>
  </si>
  <si>
    <t>Số 266 ngày 28/10/2016</t>
  </si>
  <si>
    <t>29/QĐ-UBND ngày 15/3/2018</t>
  </si>
  <si>
    <t>Đường giao thông nội bộ KDC Đồng Phởi đến giáp đường phía Nam chợ</t>
  </si>
  <si>
    <t>Số 253 ngày 28/10/2016</t>
  </si>
  <si>
    <t>40/QĐ-UBND ngày 16/3/2018</t>
  </si>
  <si>
    <t xml:space="preserve">BTXM các tuyến đường nội thị tổ dân phố 4, thị trấn Đức Phổ </t>
  </si>
  <si>
    <t>Số 257 ngày 28/10/2016</t>
  </si>
  <si>
    <t xml:space="preserve">Tuyến đường ranh giới Phổ Hòa đi tổ dân phố 3 thị trấn Đức Phổ </t>
  </si>
  <si>
    <t>Số 267 ngày 28/10/2016</t>
  </si>
  <si>
    <t>41/QĐ-UBND ngày 16/3/2018</t>
  </si>
  <si>
    <t xml:space="preserve">BTXM tuyến đường từ đường Trương Định đến đường Chu Văn An ( Tổ DP3) và tuyến đường từ nhà bà Thế đến đường Nguyễn Bá Loan (Tổ DP3) </t>
  </si>
  <si>
    <t>Số 265 ngày 28/10/2016</t>
  </si>
  <si>
    <t>39/QĐ-UBND ngày 16/3/2018</t>
  </si>
  <si>
    <t xml:space="preserve">Nâng cấp tuyến đường từ nhà ông Lưu đến nhà ông Ban Bê và tuyến đường từ nhà bà Cẩm đến đường Phan Thái Ất </t>
  </si>
  <si>
    <t>Số 258a ngày 28/10/2016</t>
  </si>
  <si>
    <t>154/QĐ-UBND ngày 01/10/2018</t>
  </si>
  <si>
    <t>Hệ thống thoát nước KDC Đồng Phởi và hệ thống thoát nước tổ dân phố 6</t>
  </si>
  <si>
    <t>Số 258 ngày 28/10/2016</t>
  </si>
  <si>
    <t>180/QĐ-UBND ngày 26/10/2018</t>
  </si>
  <si>
    <t>Nâng cấp tuyến đường Bùi Thị Xuân</t>
  </si>
  <si>
    <t>230/QĐ-UBND ngày 10/12/2018</t>
  </si>
  <si>
    <t xml:space="preserve">Tuyến đường Nguyễn Đình Chiểu và đường nhánh nối đường Trương Định </t>
  </si>
  <si>
    <t>Số 261 ngày 28/10/2016</t>
  </si>
  <si>
    <t>64/QĐ-UBND ngày 15/5/2018</t>
  </si>
  <si>
    <t xml:space="preserve">Tuyến đường từ đường Nguyễn Nghiêm (Tổ DP5) đến đường Nguyễn Bỉnh Khiêm (Tổ DP4) thị trấn Đức Phổ </t>
  </si>
  <si>
    <t>Số 254 ngày 28/10/2016</t>
  </si>
  <si>
    <t>124/QĐ-UBND ngày 06/8/2018</t>
  </si>
  <si>
    <t xml:space="preserve">Tuyến đường từ đường Nguyễn Nghiêm (Tổ DP5) đến nhà ông Bình (Tổ DP4) thị trấn Đức Phổ </t>
  </si>
  <si>
    <t>Số 257a ngày 28/10/2016</t>
  </si>
  <si>
    <t>181/QĐ-UBND ngày 26/10/2018</t>
  </si>
  <si>
    <t>Tuyến đường từ KDC Đồng Phởi đến giáp đường Bùi Thị Xuân</t>
  </si>
  <si>
    <t>Số 268 ngày 28/10/2016</t>
  </si>
  <si>
    <t>154/QĐ-UBND ngày 14/7/2018</t>
  </si>
  <si>
    <t>Nâng cấp đường Nguyễn Bá Loan</t>
  </si>
  <si>
    <t>Số 210 ngày 30/10/2017</t>
  </si>
  <si>
    <t>253/QĐ-UBND ngày 28/12/2018</t>
  </si>
  <si>
    <t>Nâng cấp tuyến đường Trương Định (đoạn từ Trạm thủy nông số 6 đi cụm CN Đồng Làng)</t>
  </si>
  <si>
    <t>4698/QĐ-UBND ngày 31/10/2017</t>
  </si>
  <si>
    <t>125/QĐ-UBND ngày 17/01/2022</t>
  </si>
  <si>
    <t>B.2</t>
  </si>
  <si>
    <t>Tuyến QL1A- Cầu Bến nứa giáp bê tông thôn Văn Trường (GĐ 3)</t>
  </si>
  <si>
    <t>62/QĐ-UBND ngày 06/4/2017</t>
  </si>
  <si>
    <t>88/QĐ-UBND ngày 28/5/2018</t>
  </si>
  <si>
    <t>Tuyến Gò Mốc- Kênh N8</t>
  </si>
  <si>
    <t>58/QĐ-UBND 16/4/2018</t>
  </si>
  <si>
    <t>482/QĐ-UBND ngày 23/12/2019</t>
  </si>
  <si>
    <t>Tuyến sân vận động - ngõ Ông Nhuận (Tập An Nam)</t>
  </si>
  <si>
    <t>252/QĐ-UBND 31/10/2018</t>
  </si>
  <si>
    <t>465/QĐ-UBND ngày 23/12/2019</t>
  </si>
  <si>
    <t>Tuyến ngõ bà Ry - Bờ kè sông Thoa (Thủy Triều)</t>
  </si>
  <si>
    <t>251/QĐ-UBND 31/10/2018</t>
  </si>
  <si>
    <t>469/QĐ-UBND ngày 23/12/2019</t>
  </si>
  <si>
    <t>Tuyến ngõ ông Tươi - Vườn dừa-Ngã 3 Trần Tiến (Đông Quang)</t>
  </si>
  <si>
    <t>259/QĐ-UBND 31/10/2018</t>
  </si>
  <si>
    <t>483/QĐ-UBND ngày 23/12/2019</t>
  </si>
  <si>
    <t>Tuyến ông Chi - Kênh N8</t>
  </si>
  <si>
    <t>242/QĐ-UBND 31/10/2018</t>
  </si>
  <si>
    <t>473/QĐ-UBND ngày 23/12/2019</t>
  </si>
  <si>
    <t>Tuyến ngõ cô Hằng - Kênh N8 (TAN)</t>
  </si>
  <si>
    <t>241/QĐ-UBND 31/10/2018</t>
  </si>
  <si>
    <t>468/QĐ-UBND ngày 23/12/2019</t>
  </si>
  <si>
    <t>Tuyến đường ngã 3 Đông - đường Trà Câu Bến Mốc (TAN)</t>
  </si>
  <si>
    <t>258/QĐ-UBND 31/10/2018</t>
  </si>
  <si>
    <t>470/QĐ-UBND ngày 23/12/2019</t>
  </si>
  <si>
    <t>Tuyến ngõ ông Hoàng Tăng-Gò Thiều (TAB)</t>
  </si>
  <si>
    <t>257/QĐ-UBND 31/10/2018</t>
  </si>
  <si>
    <t>467/QĐ-UBND ngày 23/12/2019</t>
  </si>
  <si>
    <t>KCH Kênh N8 (Năm Trà)- giáp mương tiêu Đồng Đình</t>
  </si>
  <si>
    <t>246/QĐ-UBND 31/10/2018</t>
  </si>
  <si>
    <t>478/QĐ-UBND ngày 23/12/2019</t>
  </si>
  <si>
    <t>KCH từ soi Trà Câu - Kênh N8 (GĐ 2)</t>
  </si>
  <si>
    <t>248/QĐ-UBND 31/10/2018</t>
  </si>
  <si>
    <t>472/QĐ-UBND ngày 23/12/2019</t>
  </si>
  <si>
    <t>KCH bờ tràn kênh N8.2-Ngõ bà Hoa (Đập bổi Văn Trường)</t>
  </si>
  <si>
    <t>253/QĐ-UBND 31/10/2018</t>
  </si>
  <si>
    <t>476/QĐ-UBND ngày 23/12/2019</t>
  </si>
  <si>
    <t>KCH tuyến kênh Đồng Đình - Thủy Triều</t>
  </si>
  <si>
    <t>245/QĐ-UBND 31/10/2018</t>
  </si>
  <si>
    <t>479/QĐ-UBND ngày 23/12/2019</t>
  </si>
  <si>
    <t>KCH kênh N8 (Năm Trà)-  Đồng Đình (GĐ 2)</t>
  </si>
  <si>
    <t>256/QĐ-UBND 31/10/2018</t>
  </si>
  <si>
    <t>480/QĐ-UBND ngày 23/12/2019</t>
  </si>
  <si>
    <t>KCH Kênh N8.1.1 -Bàu đĩa (Đám mặt sa Tập An Bắc)</t>
  </si>
  <si>
    <t>244/QĐ-UBND 31/10/2018</t>
  </si>
  <si>
    <t>475/QĐ-UBND ngày 23/12/2019</t>
  </si>
  <si>
    <t>KCH kênh ngõ Nguyễn Chí Linh - ngõ Hoàng Tăng (Văn trường + Đông Quang+Tập An Bắc)</t>
  </si>
  <si>
    <t>247/QĐ-UBND 31/10/2018</t>
  </si>
  <si>
    <t>481/QĐ-UBND ngày 23/12/2019</t>
  </si>
  <si>
    <t>KCH kênh lô 4-Cuối lô 21 (Gò Duối Tập An Nam)</t>
  </si>
  <si>
    <t>249/QĐ-UBND 31/10/2018</t>
  </si>
  <si>
    <t>471/QĐ-UBND ngày 23/12/2019</t>
  </si>
  <si>
    <t>KCH kênh N8.3 (Lô 2&amp;3)- Cuối lô 27(Tập An Nam + Thủy Triều)</t>
  </si>
  <si>
    <t>250/QĐ-UBND 31/10/2018</t>
  </si>
  <si>
    <t>477/QĐ-UBND ngày 23/12/2019</t>
  </si>
  <si>
    <t>Xây dựng nghĩa trang nhân dân gò ông Thiều</t>
  </si>
  <si>
    <t>254/QĐ-UBND 31/10/2018</t>
  </si>
  <si>
    <t>474/QĐ-UBND ngày 23/12/2019</t>
  </si>
  <si>
    <t>KCH kênh tưới Đầm - Rộc Niễu</t>
  </si>
  <si>
    <t>405/QĐ-UBND ngày 30/10/2019</t>
  </si>
  <si>
    <t>356/QĐ-UBND ngày 23/9/2020</t>
  </si>
  <si>
    <t>Kênh tưới trạm bơm Bến Tổng - Đăng Quang</t>
  </si>
  <si>
    <t>402/QĐ-UBND ngày 30/10/2019</t>
  </si>
  <si>
    <t>357/QĐ-UBND ngày 23/9/2020</t>
  </si>
  <si>
    <t>B.3</t>
  </si>
  <si>
    <t>Phường Phổ Văn</t>
  </si>
  <si>
    <t>B.5</t>
  </si>
  <si>
    <t>Phường Phổ Quang</t>
  </si>
  <si>
    <t>Đường thôn: Tuyến đường từ nhà ông Trần Trung Quốc đi bãi biển</t>
  </si>
  <si>
    <t>871/QĐ-UBND ngày 15/10/2018</t>
  </si>
  <si>
    <t>257/QĐ-UBND ngày 31/12/2019</t>
  </si>
  <si>
    <t>Dự án thuộc
Chương trình MTQG
NTM</t>
  </si>
  <si>
    <t>Dự án thuộc
Chương trình MTQG
giảm nghèo bền vững</t>
  </si>
  <si>
    <t>Phường Phổ Ninh</t>
  </si>
  <si>
    <t>Tuyến xóm Hoà Ninh - kênh An Nhơn thôn An Ninh</t>
  </si>
  <si>
    <t>136/QĐ-UBND ngày 30/3/2017</t>
  </si>
  <si>
    <t>93/QĐ-UBND ngày 12/7/2018</t>
  </si>
  <si>
    <t>Tuyến từ Nhà Văn hoá Đội 3 -Giáp khối 4 thị trấn Đức Phổ</t>
  </si>
  <si>
    <t>46aQĐ-UBND ngày 23/2/2021( điều chỉnh)</t>
  </si>
  <si>
    <t>176/QĐ-UBND ngày 30/7/2021</t>
  </si>
  <si>
    <t>B.6</t>
  </si>
  <si>
    <t>B.7</t>
  </si>
  <si>
    <t>Phường Phổ Minh</t>
  </si>
  <si>
    <t>Đường BTXM tuyến bà Bướm - NTLS - đường tránh</t>
  </si>
  <si>
    <t>144/QĐ-UBND ngày 08/7/2019</t>
  </si>
  <si>
    <t>155/QĐ-UBND ngày 19/6/2020</t>
  </si>
  <si>
    <t>Đường BTXM tuyến Sa Bình - Phổ Quang</t>
  </si>
  <si>
    <t>158/QĐ-UBND ngày 09/7/2019</t>
  </si>
  <si>
    <t>167/QĐ-UBND ngày 29/6/2020</t>
  </si>
  <si>
    <t>Đường BTXM tuyến Tân Tự - Tân Bình</t>
  </si>
  <si>
    <t>146/QĐ-UBND ngày 08/7/2019</t>
  </si>
  <si>
    <t>119/QĐ-UBND ngày 27/5/2020</t>
  </si>
  <si>
    <t>Đường BTXM tuyến Tân Tự - cầu Hải Tân</t>
  </si>
  <si>
    <t>150/QĐ-UBND ngày 09/7/2019</t>
  </si>
  <si>
    <t>267/QĐ-UBND ngày 21/10/2020</t>
  </si>
  <si>
    <t>Đường BTXM tuyến Phổ Minh - Phổ Vinh giáp đường Nguyễn Chánh</t>
  </si>
  <si>
    <t>153/QĐ-UBND ngày 09/7/2019</t>
  </si>
  <si>
    <t>91/QĐ-UBND ngày 29/4/2020</t>
  </si>
  <si>
    <t>Đường BTXM tuyến nhà ông Hùng-nhà ông Đức-giáp đường BTXM</t>
  </si>
  <si>
    <t>152/QĐ-UBND ngày 09/7/2019</t>
  </si>
  <si>
    <t>116/QĐ-UBND ngày 27/5/2020</t>
  </si>
  <si>
    <t>Đường BTXM tuyến từ gò Lùm - mương Đình (GĐ 2)</t>
  </si>
  <si>
    <t>145/QĐ-UBND ngày 08/7/2019</t>
  </si>
  <si>
    <t>89/QĐ-UBND ngày 29/4/2020</t>
  </si>
  <si>
    <t>Đường BTXM tuyến Võ Thị Sáu đi NTLS</t>
  </si>
  <si>
    <t>159/QĐ-UBND ngày 09/7/2019</t>
  </si>
  <si>
    <t>90/QĐ-UBND ngày 29/4/2020</t>
  </si>
  <si>
    <t>Đường BTXM tuyến Tân Tự - cầu Hói</t>
  </si>
  <si>
    <t>345/QĐ-UBND ngày 04/12/2019</t>
  </si>
  <si>
    <t>121/QĐ-UBND ngày 27/5/2020</t>
  </si>
  <si>
    <t>Đường BTXM tuyến Tân Tự - nhà bà Phẩm</t>
  </si>
  <si>
    <t>320/QĐ-UBND ngày 22/11/2019</t>
  </si>
  <si>
    <t>142/QĐ-UBND ngày 10/6/2020</t>
  </si>
  <si>
    <t>KCH kênh N6 - Ao ông Xã cấp - cầu ông Phú</t>
  </si>
  <si>
    <t>149/QĐ-UBND ngày 09/7/2019</t>
  </si>
  <si>
    <t>96/QĐ-UBND ngày 29/4/2020</t>
  </si>
  <si>
    <t>KCH kênh Đồng Năng</t>
  </si>
  <si>
    <t>169/QĐ-UBND ngày 09/7/2019</t>
  </si>
  <si>
    <t>186/QĐ-UBND ngày 28/7/2020</t>
  </si>
  <si>
    <t>KCH kênh sông Cũ - cầu Sắt</t>
  </si>
  <si>
    <t>166/QĐ-UBND ngày 09/7/2019</t>
  </si>
  <si>
    <t>185/QĐ-UBND ngày 28/7/2020</t>
  </si>
  <si>
    <t>KCH kênh bà Nhơn - sông Trường</t>
  </si>
  <si>
    <t>157/QĐ-UBND ngày 09/7/2019</t>
  </si>
  <si>
    <t>154/QĐ-UBND ngày 19/6/2020</t>
  </si>
  <si>
    <t>KCH kênh sông Chùa</t>
  </si>
  <si>
    <t>165/QĐ-UBND ngày 09/7/2019</t>
  </si>
  <si>
    <t>253/QĐ-UBND ngày 23/9/2020</t>
  </si>
  <si>
    <t>KCH kênh tưới đình ông Độ Lô 2</t>
  </si>
  <si>
    <t>300/QĐ-UBND ngày 28/10/2019</t>
  </si>
  <si>
    <t>187/QĐ-UBND ngày 28/7/2020</t>
  </si>
  <si>
    <t>KCH kênh từ nhà ông Cường - đường tránh Đông</t>
  </si>
  <si>
    <t>301/QĐ-UBND ngày 28/10/2019</t>
  </si>
  <si>
    <t>347/QĐ-UBND ngày 30/11/2020</t>
  </si>
  <si>
    <t>KCH kênh vạt Lách - đồng thầy Son</t>
  </si>
  <si>
    <t>168/QĐ-UBND ngày 09/7/2019</t>
  </si>
  <si>
    <t>252/QĐ-UBND ngày 23/9/2020</t>
  </si>
  <si>
    <t>KCH kênh gò Mốc</t>
  </si>
  <si>
    <t>164/QĐ-UBND ngày 09/7/2019</t>
  </si>
  <si>
    <t>92/QĐ-UBND ngày 29/4/2020</t>
  </si>
  <si>
    <t>KCH kênh từ nhà ông Lựu - giáp Phổ Vinh</t>
  </si>
  <si>
    <t>167/QĐ-UBND ngày 09/7/2019</t>
  </si>
  <si>
    <t>88/QĐ-UBND ngày 29/4/2020</t>
  </si>
  <si>
    <t>KCH kênh đồng Quay Mỏ - đồng Sau (GĐ 2)</t>
  </si>
  <si>
    <t>156/QĐ-UBND ngày 09/7/2019</t>
  </si>
  <si>
    <t>93/QĐ-UBND ngày 29/4/2020</t>
  </si>
  <si>
    <t>Sân vận động Phổ Minh</t>
  </si>
  <si>
    <t>155/QĐ-UBND ngày 09/7/2019</t>
  </si>
  <si>
    <t>156/QĐ-UBND ngày 19/6/2020</t>
  </si>
  <si>
    <t>Nhà Văn hóa, sân thể thao thôn Tân Tự</t>
  </si>
  <si>
    <t>161/QĐ-UBND ngày 09/7/2019</t>
  </si>
  <si>
    <t>117/QĐ-UBND ngày 27/5/2020</t>
  </si>
  <si>
    <t>Nhà Văn hóa Tân Mỹ</t>
  </si>
  <si>
    <t>163/QĐ-UBND ngày 09/7/2019</t>
  </si>
  <si>
    <t>120/QĐ-UBND ngày 27/5/2020</t>
  </si>
  <si>
    <t>Xã Phổ Khánh</t>
  </si>
  <si>
    <t>Tuyến xóm 8 -Phú Long</t>
  </si>
  <si>
    <t>Xây dựng tuyến đường Quốc lộ 1
- Phước Điền</t>
  </si>
  <si>
    <t>Số 1037/QĐ-UBND ngày 06/9/2021</t>
  </si>
  <si>
    <t>103 ngày
14/02/2022</t>
  </si>
  <si>
    <t>Tuyến QL1-xóm 8B- Rừng Tre 
(giai đoạn 2)</t>
  </si>
  <si>
    <t>Số 1038/QĐ-UBND ngày 06/9/2021</t>
  </si>
  <si>
    <t>1232a ngày
 25/8/2022</t>
  </si>
  <si>
    <t>Tuyến đường từ xóm 33-xóm 31,
 Quy Thiện ( giai đoạn 2)</t>
  </si>
  <si>
    <t>Số 1039/QĐ-UBND ngày 06/9/2021</t>
  </si>
  <si>
    <t>Số 1150 ngày
27/4/2022</t>
  </si>
  <si>
    <t>Tuyến Ngã tư xóm 32- Đến điểm
 di tích Tàu Không Số, Qui Thiện</t>
  </si>
  <si>
    <t>Số 1041/QĐ-UBND ngày 06/9/2021</t>
  </si>
  <si>
    <t>Số 235 ngày
02/3/2022</t>
  </si>
  <si>
    <t>Tuyến đường từ chợ Trung Tâm
 - Vườn Bạch -xóm 19, Trung Sơn</t>
  </si>
  <si>
    <t>Số 1042/QĐ-UBND ngày 06/9/2021</t>
  </si>
  <si>
    <t>Số 1164 ngày
16/5/2022</t>
  </si>
  <si>
    <t>Tuyến đường từ chợ Trung Tâm
- Bàu Súng, Trung Sơn</t>
  </si>
  <si>
    <t>Số 1043/QĐ-UBND ngày 06/9/2021</t>
  </si>
  <si>
    <t>Số 1166 ngày
16/5/2022</t>
  </si>
  <si>
    <t>Tuyến đường từ nhà 
ông Lên-Đập ông Sỹ, Vĩnh An</t>
  </si>
  <si>
    <t>Số 1045/QĐ-UBND ngày 06/9/2021</t>
  </si>
  <si>
    <t>Số 1165 ngày
16/5/2022</t>
  </si>
  <si>
    <t>Tuyến đường QL1-xóm 4-
Nhà ông Năng, Diên Trường( giai đoạn 3)</t>
  </si>
  <si>
    <t>Số 1046/QĐ-UBND ngày 06/9/2021</t>
  </si>
  <si>
    <t>1218
 ngày 05/8/2022</t>
  </si>
  <si>
    <t>Tuyến đường nhà ông Lung xóm 13- giáp tuyến đường cầu xóm 8B-xóm 9B</t>
  </si>
  <si>
    <t>Số 1047/QĐ-UBND ngày 06/9/2021</t>
  </si>
  <si>
    <t>Số 1147 ngày
26/4/2022</t>
  </si>
  <si>
    <t>Tuyến đường xóm 20 Trung Sơn 
- xóm 15, Trung Hải</t>
  </si>
  <si>
    <t>Số 1048/QĐ-UBND ngày 06/9/2021</t>
  </si>
  <si>
    <t>Số 236 ngày
02/3/2022</t>
  </si>
  <si>
    <t>Tuyến xóm 14 nghĩa địa Trung Hải</t>
  </si>
  <si>
    <t>Số 1049/QĐ-UBND ngày 06/9/2021</t>
  </si>
  <si>
    <t>Số 1162a ngày
16/5/2022</t>
  </si>
  <si>
    <t>Tuyến đường từ nhà văn hóa thôn Qui Thiện - đi ra biển</t>
  </si>
  <si>
    <t>Số 1050/QĐ-UBND ngày 06/9/2021</t>
  </si>
  <si>
    <t>1149 ngày
27/4/2022</t>
  </si>
  <si>
    <t>Tuyến ngã 5 Phước Điền - xóm 27, Vĩnh An ( giáp đường ĐH47)</t>
  </si>
  <si>
    <t>Số 1051/QĐ-UBND ngày 06/9/2021</t>
  </si>
  <si>
    <t>Số 1187 ngày
06/6/2022</t>
  </si>
  <si>
    <t>Đường Nội đồng cấp phối từ hạ lưu Cầu ông Vân - Cầu xóm 8B, Diên Trường; Đường xóm 8A-Cầu ông Vân</t>
  </si>
  <si>
    <t>Số 1052/QĐ-UBND ngày 06/9/2021</t>
  </si>
  <si>
    <t>1339
 ngày 21/11/2022</t>
  </si>
  <si>
    <t>Tuyến đường từ xóm 8A, 
Diên Trường-xóm 19-xóm 20, Trung Sơn</t>
  </si>
  <si>
    <t>Số 1053/QĐ-UBND ngày 06/9/2021</t>
  </si>
  <si>
    <t>Số 1217 ngày
05/8/2022</t>
  </si>
  <si>
    <t>Trung tâm văn hóa 
thể dục thể thao xã</t>
  </si>
  <si>
    <t>Số 1054/QĐ-UBND ngày 06/9/2021</t>
  </si>
  <si>
    <t>1207a ngày
 27/7/2022</t>
  </si>
  <si>
    <t>Nhà văn hóa
 thôn Phước Điền</t>
  </si>
  <si>
    <t>Số 1059/QĐ-UBND ngày 06/9/2021</t>
  </si>
  <si>
    <t>1196 ngày
01/7/2022</t>
  </si>
  <si>
    <t>Nhà văn hóa
 thôn Qui Thiện</t>
  </si>
  <si>
    <t>Số 1060/QĐ-UBND ngày 06/9/2021</t>
  </si>
  <si>
    <t>1197 ngày
01/7/2022</t>
  </si>
  <si>
    <t>Nhà văn hóa 
thôn Vĩnh An</t>
  </si>
  <si>
    <t>Số 1061/QĐ-UBND ngày 06/9/2021</t>
  </si>
  <si>
    <t>1198 ngày
01/7/2022</t>
  </si>
  <si>
    <t>Dự án…</t>
  </si>
  <si>
    <t>Tuyến đường Quốc lộ 1A xóm 2 - xóm 4 thôn Diên Trường</t>
  </si>
  <si>
    <t>Số 2044QĐ-UBND ngày 13/12/2021</t>
  </si>
  <si>
    <t>1219 ngày
25/8/2022</t>
  </si>
  <si>
    <t>Tuyến đường Bàu Súng - Dốc Đình - Xóm 20 thôn Trung Sơn</t>
  </si>
  <si>
    <t>Số 2045/QĐ-UBND ngày 13/12/2021</t>
  </si>
  <si>
    <t>1220 ngày
25/8/2022</t>
  </si>
  <si>
    <t>B.8</t>
  </si>
  <si>
    <t>Xã Phổ Phong</t>
  </si>
  <si>
    <t>B.9</t>
  </si>
  <si>
    <t>Nhà văn hóa thôn Hiệp An</t>
  </si>
  <si>
    <t>211/QD-UBND ngày 26/10/2019</t>
  </si>
  <si>
    <t>52/QĐ-UBND  ngày 25/2/2021</t>
  </si>
  <si>
    <t>Tuyến ngõ Lê Được (đường Trà Câu -Km7) đi giáp đường Nguyễn Đi</t>
  </si>
  <si>
    <t>198/QD-UBND ngày 26/10/2019</t>
  </si>
  <si>
    <t>406/QĐ-UBND  ngày 31/12/2020</t>
  </si>
  <si>
    <t>Tuyến Vườn Võ đi nhà Thới Minh Cường</t>
  </si>
  <si>
    <t>201/QD-UBND ngày 26/10/2019</t>
  </si>
  <si>
    <t>397/QĐ-UBND  ngày 31/12/2020</t>
  </si>
  <si>
    <t>Tuyến ngõ 6 Ơn đi Phổ Thuận</t>
  </si>
  <si>
    <t>202/QD-UBND ngày 26/10/2019</t>
  </si>
  <si>
    <t>401/QĐ-UBND  ngày 31/12/2020</t>
  </si>
  <si>
    <t>Kênh ngõ Độ QL24 đi giáp Võ Anh Tam (Hùng Nghĩa)</t>
  </si>
  <si>
    <t>214/QD-UBND ngày 26/10/2019</t>
  </si>
  <si>
    <t>46/QĐ-UBND  ngày 25/2/2021</t>
  </si>
  <si>
    <t>Nhà Văn hóa thôn Gia An</t>
  </si>
  <si>
    <t>210/QD-UBND ngày 26/10/2019</t>
  </si>
  <si>
    <t>53/QĐ-UBND  ngày 25/2/2021</t>
  </si>
  <si>
    <t>Tuyến khu Di tích Núi Xương Rồng</t>
  </si>
  <si>
    <t>191/QD-UBND ngày 26/10/2019</t>
  </si>
  <si>
    <t>262a/QĐ-UBND  ngày 15/6/2021</t>
  </si>
  <si>
    <t>Dự án thuộc 
chương trình 
MTQG
NTM</t>
  </si>
  <si>
    <t>B.10</t>
  </si>
  <si>
    <t>Phường Phổ Vinh</t>
  </si>
  <si>
    <t>Đường GTNT bằng BTXM ngã 3 nhà ông Đường - nhà ông Mẹo thôn Trung Lý</t>
  </si>
  <si>
    <t>85/QĐ-UBND ngày 24/10/2014</t>
  </si>
  <si>
    <t>99QĐ-UBND 05/7/2016</t>
  </si>
  <si>
    <t>Đường GTNT bằng BTXM nhà ông Ân - nhà ông Trường thôn Phi Hiển</t>
  </si>
  <si>
    <t>81/QĐ-UBND ngày 22/10/2014</t>
  </si>
  <si>
    <t>87QĐ-UBND ngày 27/5/2016</t>
  </si>
  <si>
    <t>BTXM tuyến đường từ nhà ông Tương (Đông Thuận) - ông Đúng thôn Trung Lý</t>
  </si>
  <si>
    <t>165/QĐ-UBND ngày 29/10/2018</t>
  </si>
  <si>
    <t>154QĐ-UBND ngày 31/10/2019</t>
  </si>
  <si>
    <t>B.11</t>
  </si>
  <si>
    <t>Phường Phổ Cường</t>
  </si>
  <si>
    <t>Công trình tuyến nhà ông Mênh-nhà ông Thảo</t>
  </si>
  <si>
    <t>217/QĐ-UBND
08/7/2019</t>
  </si>
  <si>
    <t>226/QĐ-
UBND
31/7/2020</t>
  </si>
  <si>
    <t>Xã Phổ Nhơn</t>
  </si>
  <si>
    <t>Tuyến từ Phước Thượng đi Nhơn Tân (Nhà văn hóa đi ngõ sau)</t>
  </si>
  <si>
    <t>1141/QĐ-UBND ngày 03/08/2021</t>
  </si>
  <si>
    <t>149/QĐ-UBND ngày 28/03/2022</t>
  </si>
  <si>
    <t>Tuyến từ ngã tư Nhơn Tân đi Dốc Vay, Dốc Trả</t>
  </si>
  <si>
    <t>140/QĐ-UBND ngày 28/03/2022</t>
  </si>
  <si>
    <t>Tuyến từ nhà Chính Nghĩa - Sân vận động và khu thể thao của xã</t>
  </si>
  <si>
    <t>144/QĐ-UBND ngày 28/03/2022</t>
  </si>
  <si>
    <t>Tuyến từ ngõ Trần Sâm - cầu Máng Trên (Nhơn Tân cũ)</t>
  </si>
  <si>
    <t>142/QĐ-UBND ngày 28/03/2022</t>
  </si>
  <si>
    <t>Tuyến Thi Khoa (An Điền) đi Gò Gai (GD3)</t>
  </si>
  <si>
    <t>151/QĐ-UBND ngày 28/03/2022</t>
  </si>
  <si>
    <t>Tuyến từ nhà bà Tự đi Trường Tiểu học Phổ Nhơn (điểm Nhơn Tân cũ)</t>
  </si>
  <si>
    <t>199/QĐ-UBND ngày 09/06/2022</t>
  </si>
  <si>
    <t>Tuyến từ nhà ông Thinh đi nhà Mười Phương</t>
  </si>
  <si>
    <t>201/QĐ-UBND ngày 09/06/2022</t>
  </si>
  <si>
    <t>Nhà văn hóa 
thôn Phước Lợi</t>
  </si>
  <si>
    <t>202/QĐ-UBND ngày 09/06/2022</t>
  </si>
  <si>
    <t>Tuyến từ ngã tư 
Phước Hạ đi Đá Mồng</t>
  </si>
  <si>
    <t>195/QĐ-UBND ngày 09/06/2022</t>
  </si>
  <si>
    <t>Tuyến từ dốc đá Phổ Ninh - Nhà ông Tròn thôn An Lợi (Từ Trường Mẫu giáo đến Đồng Tường)</t>
  </si>
  <si>
    <t>197/QĐ-UBND ngày 09/06/2022</t>
  </si>
  <si>
    <t>Tuyến từ đường bê tông Phổ Thuận - Phổ Nhơn đi nhà ông Hiếu</t>
  </si>
  <si>
    <t>215/QĐ-UBND ngày 25/07/2022</t>
  </si>
  <si>
    <t>Nghĩa trang nhân dân xã Phổ Nhơn</t>
  </si>
  <si>
    <t>348/QĐ-UBND ngày 30/12/2022</t>
  </si>
  <si>
    <t>Tuyến đường Ngã tư Phước Hạ đi Nhơn Tân (GD2)</t>
  </si>
  <si>
    <t>645/QĐ-
UBND ngày 16/11/2021</t>
  </si>
  <si>
    <t>208/QĐ-UBND ngày 24/06/2022</t>
  </si>
  <si>
    <t>Tuyến mương Lỗ Lá đi nhà ông Nhuận (An Điền cũ)</t>
  </si>
  <si>
    <t>646/QĐ-
UBND ngày 16/11/2021</t>
  </si>
  <si>
    <t>266/QĐ-UBND ngày 27/09/2022</t>
  </si>
  <si>
    <t>Tuyến mương Sở Hầu (nhà Kim Kia) đi đồng dồn điền đổi thửa (Phước Thượng cũ)</t>
  </si>
  <si>
    <t>647/QĐ-
UBND ngày 16/11/2021</t>
  </si>
  <si>
    <t>267/QĐ-UBND ngày 27/09/2022</t>
  </si>
  <si>
    <t>Tuyến kênh từ nhà ông Cần đến Phần Thâu</t>
  </si>
  <si>
    <t xml:space="preserve">1507/QĐ-UBND ngày 27/12/2022 </t>
  </si>
  <si>
    <t>192/QĐ-UBND ngày13/11/2023</t>
  </si>
  <si>
    <t>B.1</t>
  </si>
  <si>
    <t>Nợ đọng xây dựng cơ bản đến 
hết năm 2024</t>
  </si>
  <si>
    <t>Ghi chú (nợ đọng các dự án thuộc Chương trình mục tiêu quốc gia)</t>
  </si>
  <si>
    <t>Riêng khối lượng phát sinh từ ngày 01/01/2024 đến 31/12/2024</t>
  </si>
  <si>
    <t>Luỹ kế khối lượng thực hiện từ khởi công đến hết ngày 31/12/2024</t>
  </si>
  <si>
    <t>Kế hoạch vốn bố trí từ khởi công 
đến hết ngày 31/12/2024</t>
  </si>
  <si>
    <t>Luỹ kế kế hoạch vốn bố trí</t>
  </si>
  <si>
    <t>Riêng Kế hoạch vốn bố trí từ ngày 01/01/2024 
đến hết ngày 31/12/2024</t>
  </si>
  <si>
    <t>Nợ đọng xây dựng cơ bản (Khối lượng nghiệm thu- Kế hoạch vốn đã bố trí)</t>
  </si>
  <si>
    <t>Nợ đọng xây dựng cơ bản phát sinh 
năm 2024 (tính từ ngày 01/1/2024 đến hết ngày 31/12/2024)</t>
  </si>
  <si>
    <t>Kế hoạch vốn năm 2025</t>
  </si>
  <si>
    <t>Tổng số vốn năm 2025</t>
  </si>
  <si>
    <t>Trong đó: Bố trí để trả nợ phát sinh trong năm 2024</t>
  </si>
  <si>
    <t xml:space="preserve">Trong đó: </t>
  </si>
  <si>
    <t>NS xã</t>
  </si>
  <si>
    <t xml:space="preserve">PHỤ LỤC
 TÌNH HÌNH NỢ ĐỌNG XÂY DỰNG CƠ BẢN ĐẾN NGÀY 31/12/2024 </t>
  </si>
  <si>
    <t>Đơn vị tính: Triệu đồng</t>
  </si>
  <si>
    <t>(Kèm theo Công văn số              /UBND ngày       / 4/2025 của UBND thị xã Đức Phổ)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</si>
</sst>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_-;\-* #,##0_-;_-* &quot;-&quot;??_-;_-@_-"/>
    <numFmt numFmtId="168" formatCode="#,##0.0"/>
    <numFmt numFmtId="169" formatCode="_(* #,##0.0_);_(* \(#,##0.0\);_(* &quot;-&quot;??_);_(@_)"/>
    <numFmt numFmtId="170" formatCode="_-* #,##0\ _₫_-;\-* #,##0\ _₫_-;_-* &quot;-&quot;??\ _₫_-;_-@_-"/>
    <numFmt numFmtId="171" formatCode="_(* #,##0.000_);_(* \(#,##0.000\);_(* &quot;-&quot;??_);_(@_)"/>
  </numFmts>
  <fonts count="38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</font>
    <font>
      <sz val="10"/>
      <name val="Arial"/>
      <family val="2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Times New Roman"/>
      <family val="1"/>
    </font>
    <font>
      <sz val="10"/>
      <color theme="1"/>
      <name val="Arial"/>
      <family val="2"/>
      <charset val="163"/>
      <scheme val="minor"/>
    </font>
    <font>
      <sz val="10"/>
      <color indexed="10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Arial"/>
      <family val="2"/>
      <charset val="163"/>
      <scheme val="minor"/>
    </font>
    <font>
      <sz val="10"/>
      <name val="Times New Roman"/>
      <family val="1"/>
      <charset val="163"/>
    </font>
    <font>
      <sz val="10"/>
      <color indexed="10"/>
      <name val="Times New Roman"/>
      <family val="1"/>
      <charset val="163"/>
    </font>
    <font>
      <sz val="10"/>
      <color theme="1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sz val="10"/>
      <color rgb="FF7030A0"/>
      <name val="Times New Roman"/>
      <family val="1"/>
      <charset val="163"/>
    </font>
    <font>
      <sz val="11"/>
      <name val="Arial"/>
      <family val="2"/>
      <charset val="163"/>
      <scheme val="minor"/>
    </font>
    <font>
      <sz val="10"/>
      <name val="Arial"/>
      <family val="2"/>
      <charset val="163"/>
      <scheme val="minor"/>
    </font>
    <font>
      <sz val="10"/>
      <color indexed="8"/>
      <name val="Times New Roman"/>
      <family val="1"/>
      <charset val="163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  <charset val="163"/>
    </font>
    <font>
      <b/>
      <sz val="14"/>
      <color rgb="FF0000FF"/>
      <name val="Times New Roman"/>
      <family val="1"/>
      <charset val="163"/>
    </font>
    <font>
      <b/>
      <sz val="10"/>
      <color rgb="FF0000FF"/>
      <name val="Times New Roman"/>
      <family val="1"/>
      <charset val="163"/>
    </font>
    <font>
      <b/>
      <sz val="14"/>
      <color rgb="FF0000FF"/>
      <name val="Arial"/>
      <family val="2"/>
      <charset val="163"/>
      <scheme val="minor"/>
    </font>
    <font>
      <sz val="11"/>
      <color rgb="FF0000FF"/>
      <name val="Times New Roman"/>
      <family val="1"/>
    </font>
    <font>
      <sz val="11"/>
      <color rgb="FF0000FF"/>
      <name val="Arial"/>
      <family val="2"/>
      <charset val="163"/>
      <scheme val="minor"/>
    </font>
    <font>
      <b/>
      <sz val="11"/>
      <color rgb="FF0000FF"/>
      <name val="Times New Roman"/>
      <family val="1"/>
    </font>
    <font>
      <sz val="8"/>
      <name val="Arial"/>
      <family val="2"/>
      <charset val="163"/>
      <scheme val="minor"/>
    </font>
    <font>
      <b/>
      <sz val="16"/>
      <name val="Times New Roman"/>
      <family val="1"/>
    </font>
    <font>
      <sz val="16"/>
      <color theme="1"/>
      <name val="Arial"/>
      <family val="2"/>
      <charset val="163"/>
      <scheme val="minor"/>
    </font>
    <font>
      <i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</cellStyleXfs>
  <cellXfs count="188">
    <xf numFmtId="0" fontId="0" fillId="0" borderId="0" xfId="0"/>
    <xf numFmtId="166" fontId="3" fillId="0" borderId="0" xfId="1" applyNumberFormat="1" applyFont="1" applyFill="1" applyAlignment="1">
      <alignment horizontal="center" vertical="center" wrapText="1"/>
    </xf>
    <xf numFmtId="166" fontId="2" fillId="0" borderId="2" xfId="1" applyNumberFormat="1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>
      <alignment horizontal="left" vertical="center" wrapText="1"/>
    </xf>
    <xf numFmtId="166" fontId="3" fillId="0" borderId="2" xfId="1" applyNumberFormat="1" applyFont="1" applyFill="1" applyBorder="1" applyAlignment="1">
      <alignment horizontal="center" vertical="center" wrapText="1"/>
    </xf>
    <xf numFmtId="166" fontId="2" fillId="0" borderId="2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left" vertical="center" wrapText="1"/>
    </xf>
    <xf numFmtId="166" fontId="10" fillId="0" borderId="2" xfId="1" applyNumberFormat="1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3" fontId="11" fillId="0" borderId="2" xfId="3" applyNumberFormat="1" applyFont="1" applyBorder="1" applyAlignment="1">
      <alignment horizontal="center" vertical="center" wrapText="1"/>
    </xf>
    <xf numFmtId="4" fontId="11" fillId="0" borderId="2" xfId="4" applyNumberFormat="1" applyFont="1" applyFill="1" applyBorder="1" applyAlignment="1">
      <alignment horizontal="left" vertical="center" wrapText="1"/>
    </xf>
    <xf numFmtId="49" fontId="11" fillId="0" borderId="2" xfId="3" applyNumberFormat="1" applyFont="1" applyBorder="1" applyAlignment="1">
      <alignment horizontal="center" vertical="center" wrapText="1"/>
    </xf>
    <xf numFmtId="167" fontId="11" fillId="0" borderId="2" xfId="5" applyNumberFormat="1" applyFont="1" applyFill="1" applyBorder="1" applyAlignment="1">
      <alignment horizontal="center" vertical="center" wrapText="1"/>
    </xf>
    <xf numFmtId="166" fontId="10" fillId="0" borderId="2" xfId="1" applyNumberFormat="1" applyFont="1" applyFill="1" applyBorder="1" applyAlignment="1">
      <alignment horizontal="right" vertical="center"/>
    </xf>
    <xf numFmtId="167" fontId="11" fillId="0" borderId="2" xfId="5" applyNumberFormat="1" applyFont="1" applyFill="1" applyBorder="1" applyAlignment="1">
      <alignment vertical="center" wrapText="1"/>
    </xf>
    <xf numFmtId="167" fontId="11" fillId="0" borderId="2" xfId="5" applyNumberFormat="1" applyFont="1" applyFill="1" applyBorder="1" applyAlignment="1">
      <alignment horizontal="right" vertical="center" wrapText="1"/>
    </xf>
    <xf numFmtId="167" fontId="12" fillId="0" borderId="2" xfId="5" applyNumberFormat="1" applyFont="1" applyFill="1" applyBorder="1" applyAlignment="1">
      <alignment horizontal="right" vertical="center" wrapText="1"/>
    </xf>
    <xf numFmtId="166" fontId="13" fillId="0" borderId="0" xfId="0" applyNumberFormat="1" applyFont="1"/>
    <xf numFmtId="0" fontId="14" fillId="0" borderId="0" xfId="0" applyFont="1"/>
    <xf numFmtId="166" fontId="9" fillId="0" borderId="2" xfId="1" applyNumberFormat="1" applyFont="1" applyFill="1" applyBorder="1" applyAlignment="1">
      <alignment horizontal="right" vertical="center" wrapText="1"/>
    </xf>
    <xf numFmtId="166" fontId="10" fillId="0" borderId="2" xfId="1" applyNumberFormat="1" applyFont="1" applyFill="1" applyBorder="1" applyAlignment="1">
      <alignment horizontal="left" vertical="center" wrapText="1"/>
    </xf>
    <xf numFmtId="3" fontId="10" fillId="0" borderId="2" xfId="6" quotePrefix="1" applyNumberFormat="1" applyFont="1" applyBorder="1" applyAlignment="1">
      <alignment horizontal="right" vertical="center" wrapText="1"/>
    </xf>
    <xf numFmtId="1" fontId="10" fillId="0" borderId="2" xfId="6" applyNumberFormat="1" applyFont="1" applyBorder="1" applyAlignment="1">
      <alignment horizontal="right" vertical="center"/>
    </xf>
    <xf numFmtId="3" fontId="10" fillId="0" borderId="2" xfId="6" applyNumberFormat="1" applyFont="1" applyBorder="1" applyAlignment="1">
      <alignment horizontal="right" vertical="center"/>
    </xf>
    <xf numFmtId="3" fontId="10" fillId="0" borderId="2" xfId="6" applyNumberFormat="1" applyFont="1" applyBorder="1" applyAlignment="1">
      <alignment horizontal="center" vertical="center"/>
    </xf>
    <xf numFmtId="3" fontId="15" fillId="0" borderId="2" xfId="6" quotePrefix="1" applyNumberFormat="1" applyFont="1" applyBorder="1" applyAlignment="1">
      <alignment horizontal="right" vertical="center" wrapText="1"/>
    </xf>
    <xf numFmtId="1" fontId="15" fillId="0" borderId="2" xfId="6" applyNumberFormat="1" applyFont="1" applyBorder="1" applyAlignment="1">
      <alignment horizontal="right" vertical="center"/>
    </xf>
    <xf numFmtId="3" fontId="15" fillId="0" borderId="2" xfId="6" applyNumberFormat="1" applyFont="1" applyBorder="1" applyAlignment="1">
      <alignment horizontal="right" vertical="center"/>
    </xf>
    <xf numFmtId="3" fontId="15" fillId="0" borderId="2" xfId="6" applyNumberFormat="1" applyFont="1" applyBorder="1" applyAlignment="1">
      <alignment horizontal="center" vertical="center"/>
    </xf>
    <xf numFmtId="0" fontId="16" fillId="3" borderId="2" xfId="2" applyNumberFormat="1" applyFont="1" applyFill="1" applyBorder="1" applyAlignment="1">
      <alignment horizontal="center" vertical="center" wrapText="1"/>
    </xf>
    <xf numFmtId="0" fontId="16" fillId="3" borderId="2" xfId="2" applyNumberFormat="1" applyFont="1" applyFill="1" applyBorder="1" applyAlignment="1">
      <alignment horizontal="justify" vertical="center" wrapText="1"/>
    </xf>
    <xf numFmtId="166" fontId="13" fillId="0" borderId="2" xfId="1" applyNumberFormat="1" applyFont="1" applyFill="1" applyBorder="1" applyAlignment="1">
      <alignment horizontal="center" vertical="center" wrapText="1"/>
    </xf>
    <xf numFmtId="166" fontId="16" fillId="0" borderId="2" xfId="1" applyNumberFormat="1" applyFont="1" applyFill="1" applyBorder="1" applyAlignment="1">
      <alignment horizontal="center" vertical="center" wrapText="1"/>
    </xf>
    <xf numFmtId="0" fontId="17" fillId="0" borderId="0" xfId="0" applyFont="1"/>
    <xf numFmtId="166" fontId="13" fillId="0" borderId="2" xfId="1" applyNumberFormat="1" applyFont="1" applyFill="1" applyBorder="1" applyAlignment="1">
      <alignment horizontal="right" vertical="center"/>
    </xf>
    <xf numFmtId="167" fontId="13" fillId="0" borderId="2" xfId="5" applyNumberFormat="1" applyFont="1" applyFill="1" applyBorder="1" applyAlignment="1">
      <alignment vertical="center" wrapText="1"/>
    </xf>
    <xf numFmtId="167" fontId="16" fillId="0" borderId="2" xfId="5" applyNumberFormat="1" applyFont="1" applyFill="1" applyBorder="1" applyAlignment="1">
      <alignment horizontal="right" vertical="center" wrapText="1"/>
    </xf>
    <xf numFmtId="167" fontId="13" fillId="0" borderId="2" xfId="5" applyNumberFormat="1" applyFont="1" applyFill="1" applyBorder="1" applyAlignment="1">
      <alignment horizontal="right" vertical="center" wrapText="1"/>
    </xf>
    <xf numFmtId="166" fontId="13" fillId="0" borderId="2" xfId="1" applyNumberFormat="1" applyFont="1" applyFill="1" applyBorder="1" applyAlignment="1">
      <alignment vertical="center"/>
    </xf>
    <xf numFmtId="166" fontId="11" fillId="0" borderId="0" xfId="0" applyNumberFormat="1" applyFont="1"/>
    <xf numFmtId="3" fontId="13" fillId="3" borderId="2" xfId="3" applyNumberFormat="1" applyFont="1" applyFill="1" applyBorder="1" applyAlignment="1">
      <alignment horizontal="center" vertical="center" wrapText="1"/>
    </xf>
    <xf numFmtId="4" fontId="13" fillId="3" borderId="2" xfId="4" applyNumberFormat="1" applyFont="1" applyFill="1" applyBorder="1" applyAlignment="1">
      <alignment horizontal="left" vertical="center" wrapText="1"/>
    </xf>
    <xf numFmtId="49" fontId="13" fillId="3" borderId="2" xfId="3" applyNumberFormat="1" applyFont="1" applyFill="1" applyBorder="1" applyAlignment="1">
      <alignment horizontal="center" vertical="center" wrapText="1"/>
    </xf>
    <xf numFmtId="167" fontId="13" fillId="3" borderId="2" xfId="5" applyNumberFormat="1" applyFont="1" applyFill="1" applyBorder="1" applyAlignment="1">
      <alignment horizontal="center" vertical="center" wrapText="1"/>
    </xf>
    <xf numFmtId="166" fontId="13" fillId="3" borderId="2" xfId="1" applyNumberFormat="1" applyFont="1" applyFill="1" applyBorder="1" applyAlignment="1">
      <alignment horizontal="right" vertical="center"/>
    </xf>
    <xf numFmtId="167" fontId="13" fillId="3" borderId="2" xfId="5" applyNumberFormat="1" applyFont="1" applyFill="1" applyBorder="1" applyAlignment="1">
      <alignment vertical="center" wrapText="1"/>
    </xf>
    <xf numFmtId="164" fontId="13" fillId="3" borderId="2" xfId="1" applyNumberFormat="1" applyFont="1" applyFill="1" applyBorder="1" applyAlignment="1">
      <alignment horizontal="right" vertical="center"/>
    </xf>
    <xf numFmtId="167" fontId="13" fillId="3" borderId="2" xfId="5" applyNumberFormat="1" applyFont="1" applyFill="1" applyBorder="1" applyAlignment="1">
      <alignment horizontal="right" vertical="center" wrapText="1"/>
    </xf>
    <xf numFmtId="167" fontId="16" fillId="3" borderId="2" xfId="5" applyNumberFormat="1" applyFont="1" applyFill="1" applyBorder="1" applyAlignment="1">
      <alignment horizontal="right" vertical="center" wrapText="1"/>
    </xf>
    <xf numFmtId="166" fontId="13" fillId="3" borderId="2" xfId="1" applyNumberFormat="1" applyFont="1" applyFill="1" applyBorder="1" applyAlignment="1">
      <alignment vertical="center"/>
    </xf>
    <xf numFmtId="166" fontId="13" fillId="3" borderId="0" xfId="0" applyNumberFormat="1" applyFont="1" applyFill="1"/>
    <xf numFmtId="0" fontId="13" fillId="3" borderId="0" xfId="0" applyFont="1" applyFill="1"/>
    <xf numFmtId="3" fontId="13" fillId="0" borderId="2" xfId="3" applyNumberFormat="1" applyFont="1" applyBorder="1" applyAlignment="1">
      <alignment horizontal="center" vertical="center" wrapText="1"/>
    </xf>
    <xf numFmtId="4" fontId="13" fillId="0" borderId="2" xfId="4" applyNumberFormat="1" applyFont="1" applyFill="1" applyBorder="1" applyAlignment="1">
      <alignment horizontal="left" vertical="center" wrapText="1"/>
    </xf>
    <xf numFmtId="49" fontId="13" fillId="0" borderId="2" xfId="3" applyNumberFormat="1" applyFont="1" applyBorder="1" applyAlignment="1">
      <alignment horizontal="center" vertical="center" wrapText="1"/>
    </xf>
    <xf numFmtId="167" fontId="13" fillId="0" borderId="2" xfId="5" applyNumberFormat="1" applyFont="1" applyFill="1" applyBorder="1" applyAlignment="1">
      <alignment horizontal="center" vertical="center" wrapText="1"/>
    </xf>
    <xf numFmtId="0" fontId="13" fillId="0" borderId="0" xfId="0" applyFont="1"/>
    <xf numFmtId="1" fontId="13" fillId="3" borderId="2" xfId="6" applyNumberFormat="1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justify" vertical="center" wrapText="1"/>
    </xf>
    <xf numFmtId="3" fontId="13" fillId="0" borderId="2" xfId="3" applyNumberFormat="1" applyFont="1" applyBorder="1" applyAlignment="1">
      <alignment horizontal="right" vertical="center" wrapText="1"/>
    </xf>
    <xf numFmtId="3" fontId="13" fillId="0" borderId="2" xfId="3" applyNumberFormat="1" applyFont="1" applyBorder="1" applyAlignment="1">
      <alignment vertical="center" wrapText="1"/>
    </xf>
    <xf numFmtId="3" fontId="16" fillId="0" borderId="2" xfId="3" applyNumberFormat="1" applyFont="1" applyBorder="1" applyAlignment="1">
      <alignment horizontal="right" vertical="center" wrapText="1"/>
    </xf>
    <xf numFmtId="3" fontId="13" fillId="3" borderId="2" xfId="3" applyNumberFormat="1" applyFont="1" applyFill="1" applyBorder="1" applyAlignment="1">
      <alignment vertical="center" wrapText="1"/>
    </xf>
    <xf numFmtId="3" fontId="13" fillId="3" borderId="2" xfId="3" applyNumberFormat="1" applyFont="1" applyFill="1" applyBorder="1" applyAlignment="1">
      <alignment horizontal="right" vertical="center" wrapText="1"/>
    </xf>
    <xf numFmtId="3" fontId="16" fillId="3" borderId="2" xfId="3" applyNumberFormat="1" applyFont="1" applyFill="1" applyBorder="1" applyAlignment="1">
      <alignment horizontal="right" vertical="center" wrapText="1"/>
    </xf>
    <xf numFmtId="49" fontId="13" fillId="4" borderId="2" xfId="3" applyNumberFormat="1" applyFont="1" applyFill="1" applyBorder="1" applyAlignment="1">
      <alignment horizontal="center" vertical="center" wrapText="1"/>
    </xf>
    <xf numFmtId="3" fontId="13" fillId="4" borderId="2" xfId="3" applyNumberFormat="1" applyFont="1" applyFill="1" applyBorder="1" applyAlignment="1">
      <alignment vertical="center" wrapText="1"/>
    </xf>
    <xf numFmtId="166" fontId="18" fillId="0" borderId="2" xfId="1" applyNumberFormat="1" applyFont="1" applyFill="1" applyBorder="1" applyAlignment="1">
      <alignment horizontal="right" vertical="center"/>
    </xf>
    <xf numFmtId="166" fontId="18" fillId="0" borderId="2" xfId="1" applyNumberFormat="1" applyFont="1" applyFill="1" applyBorder="1" applyAlignment="1">
      <alignment horizontal="left" vertical="center" wrapText="1"/>
    </xf>
    <xf numFmtId="166" fontId="18" fillId="0" borderId="2" xfId="1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center" vertical="center" wrapText="1"/>
    </xf>
    <xf numFmtId="3" fontId="20" fillId="4" borderId="14" xfId="6" quotePrefix="1" applyNumberFormat="1" applyFont="1" applyFill="1" applyBorder="1" applyAlignment="1">
      <alignment vertical="center" wrapText="1"/>
    </xf>
    <xf numFmtId="3" fontId="21" fillId="0" borderId="2" xfId="6" quotePrefix="1" applyNumberFormat="1" applyFont="1" applyBorder="1" applyAlignment="1">
      <alignment horizontal="center" vertical="center" wrapText="1"/>
    </xf>
    <xf numFmtId="4" fontId="22" fillId="0" borderId="2" xfId="3" applyNumberFormat="1" applyFont="1" applyBorder="1" applyAlignment="1">
      <alignment horizontal="center" vertical="center" wrapText="1"/>
    </xf>
    <xf numFmtId="1" fontId="18" fillId="0" borderId="2" xfId="6" applyNumberFormat="1" applyFont="1" applyBorder="1" applyAlignment="1">
      <alignment vertical="center" wrapText="1"/>
    </xf>
    <xf numFmtId="3" fontId="21" fillId="3" borderId="2" xfId="6" quotePrefix="1" applyNumberFormat="1" applyFont="1" applyFill="1" applyBorder="1" applyAlignment="1">
      <alignment horizontal="center" vertical="center" wrapText="1"/>
    </xf>
    <xf numFmtId="168" fontId="20" fillId="4" borderId="14" xfId="6" quotePrefix="1" applyNumberFormat="1" applyFont="1" applyFill="1" applyBorder="1" applyAlignment="1">
      <alignment vertical="center" wrapText="1"/>
    </xf>
    <xf numFmtId="169" fontId="18" fillId="0" borderId="2" xfId="1" applyNumberFormat="1" applyFont="1" applyFill="1" applyBorder="1" applyAlignment="1">
      <alignment horizontal="right" vertical="center"/>
    </xf>
    <xf numFmtId="3" fontId="20" fillId="4" borderId="15" xfId="6" quotePrefix="1" applyNumberFormat="1" applyFont="1" applyFill="1" applyBorder="1" applyAlignment="1">
      <alignment vertical="center" wrapText="1"/>
    </xf>
    <xf numFmtId="166" fontId="18" fillId="0" borderId="13" xfId="1" applyNumberFormat="1" applyFont="1" applyFill="1" applyBorder="1" applyAlignment="1">
      <alignment horizontal="center" vertical="center" wrapText="1"/>
    </xf>
    <xf numFmtId="0" fontId="13" fillId="3" borderId="2" xfId="2" applyNumberFormat="1" applyFont="1" applyFill="1" applyBorder="1" applyAlignment="1">
      <alignment horizontal="justify" vertical="center" wrapText="1"/>
    </xf>
    <xf numFmtId="166" fontId="3" fillId="0" borderId="12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3" fontId="10" fillId="3" borderId="2" xfId="1" applyNumberFormat="1" applyFont="1" applyFill="1" applyBorder="1" applyAlignment="1">
      <alignment horizontal="center" vertical="center" wrapText="1"/>
    </xf>
    <xf numFmtId="4" fontId="10" fillId="3" borderId="2" xfId="3" applyNumberFormat="1" applyFont="1" applyFill="1" applyBorder="1" applyAlignment="1">
      <alignment horizontal="center" vertical="center" wrapText="1"/>
    </xf>
    <xf numFmtId="3" fontId="10" fillId="3" borderId="2" xfId="3" applyNumberFormat="1" applyFont="1" applyFill="1" applyBorder="1" applyAlignment="1">
      <alignment horizontal="right" vertical="center" wrapText="1"/>
    </xf>
    <xf numFmtId="3" fontId="10" fillId="3" borderId="2" xfId="1" applyNumberFormat="1" applyFont="1" applyFill="1" applyBorder="1" applyAlignment="1">
      <alignment horizontal="right" vertical="center" wrapText="1"/>
    </xf>
    <xf numFmtId="167" fontId="10" fillId="3" borderId="2" xfId="3" applyNumberFormat="1" applyFont="1" applyFill="1" applyBorder="1" applyAlignment="1">
      <alignment horizontal="right" vertical="center" wrapText="1"/>
    </xf>
    <xf numFmtId="166" fontId="3" fillId="0" borderId="2" xfId="1" applyNumberFormat="1" applyFont="1" applyFill="1" applyBorder="1" applyAlignment="1">
      <alignment horizontal="right" vertical="center"/>
    </xf>
    <xf numFmtId="0" fontId="23" fillId="0" borderId="0" xfId="0" applyFont="1"/>
    <xf numFmtId="3" fontId="10" fillId="3" borderId="2" xfId="0" applyNumberFormat="1" applyFont="1" applyFill="1" applyBorder="1" applyAlignment="1">
      <alignment horizontal="center" vertical="center" wrapText="1"/>
    </xf>
    <xf numFmtId="167" fontId="10" fillId="3" borderId="2" xfId="0" applyNumberFormat="1" applyFont="1" applyFill="1" applyBorder="1"/>
    <xf numFmtId="0" fontId="24" fillId="0" borderId="0" xfId="0" applyFont="1"/>
    <xf numFmtId="0" fontId="10" fillId="0" borderId="2" xfId="0" applyFont="1" applyBorder="1" applyAlignment="1">
      <alignment horizontal="center" vertical="center" wrapText="1"/>
    </xf>
    <xf numFmtId="164" fontId="18" fillId="0" borderId="2" xfId="1" applyNumberFormat="1" applyFont="1" applyFill="1" applyBorder="1" applyAlignment="1">
      <alignment horizontal="right" vertical="center"/>
    </xf>
    <xf numFmtId="0" fontId="18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166" fontId="3" fillId="0" borderId="13" xfId="1" applyNumberFormat="1" applyFont="1" applyFill="1" applyBorder="1" applyAlignment="1">
      <alignment horizontal="right" vertical="center"/>
    </xf>
    <xf numFmtId="166" fontId="18" fillId="0" borderId="12" xfId="1" applyNumberFormat="1" applyFont="1" applyFill="1" applyBorder="1" applyAlignment="1">
      <alignment horizontal="center" vertical="center" wrapText="1"/>
    </xf>
    <xf numFmtId="3" fontId="11" fillId="0" borderId="12" xfId="3" applyNumberFormat="1" applyFont="1" applyBorder="1" applyAlignment="1">
      <alignment horizontal="center" vertical="center" wrapText="1"/>
    </xf>
    <xf numFmtId="3" fontId="12" fillId="0" borderId="12" xfId="3" applyNumberFormat="1" applyFont="1" applyBorder="1" applyAlignment="1">
      <alignment horizontal="right" vertical="center" wrapText="1"/>
    </xf>
    <xf numFmtId="3" fontId="26" fillId="0" borderId="12" xfId="3" applyNumberFormat="1" applyFont="1" applyBorder="1" applyAlignment="1">
      <alignment horizontal="right" vertical="center" wrapText="1"/>
    </xf>
    <xf numFmtId="166" fontId="10" fillId="0" borderId="2" xfId="1" quotePrefix="1" applyNumberFormat="1" applyFont="1" applyFill="1" applyBorder="1" applyAlignment="1">
      <alignment horizontal="left" vertical="center" wrapText="1"/>
    </xf>
    <xf numFmtId="170" fontId="10" fillId="0" borderId="2" xfId="1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1" fontId="10" fillId="0" borderId="2" xfId="6" applyNumberFormat="1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166" fontId="10" fillId="3" borderId="2" xfId="1" applyNumberFormat="1" applyFont="1" applyFill="1" applyBorder="1" applyAlignment="1">
      <alignment horizontal="center" vertical="center" wrapText="1"/>
    </xf>
    <xf numFmtId="166" fontId="16" fillId="5" borderId="2" xfId="1" applyNumberFormat="1" applyFont="1" applyFill="1" applyBorder="1" applyAlignment="1">
      <alignment horizontal="center" vertical="center" wrapText="1"/>
    </xf>
    <xf numFmtId="166" fontId="16" fillId="5" borderId="2" xfId="1" applyNumberFormat="1" applyFont="1" applyFill="1" applyBorder="1" applyAlignment="1">
      <alignment horizontal="left" vertical="center" wrapText="1"/>
    </xf>
    <xf numFmtId="166" fontId="27" fillId="6" borderId="2" xfId="1" applyNumberFormat="1" applyFont="1" applyFill="1" applyBorder="1" applyAlignment="1">
      <alignment horizontal="center" vertical="center" wrapText="1"/>
    </xf>
    <xf numFmtId="166" fontId="27" fillId="6" borderId="2" xfId="1" applyNumberFormat="1" applyFont="1" applyFill="1" applyBorder="1" applyAlignment="1">
      <alignment horizontal="left" vertical="center" wrapText="1"/>
    </xf>
    <xf numFmtId="166" fontId="28" fillId="6" borderId="2" xfId="1" applyNumberFormat="1" applyFont="1" applyFill="1" applyBorder="1" applyAlignment="1">
      <alignment horizontal="center" vertical="center" wrapText="1"/>
    </xf>
    <xf numFmtId="166" fontId="29" fillId="6" borderId="2" xfId="1" applyNumberFormat="1" applyFont="1" applyFill="1" applyBorder="1" applyAlignment="1">
      <alignment horizontal="center" vertical="center" wrapText="1"/>
    </xf>
    <xf numFmtId="166" fontId="29" fillId="6" borderId="2" xfId="1" applyNumberFormat="1" applyFont="1" applyFill="1" applyBorder="1" applyAlignment="1">
      <alignment horizontal="left" vertical="center" wrapText="1"/>
    </xf>
    <xf numFmtId="0" fontId="30" fillId="0" borderId="0" xfId="0" applyFont="1"/>
    <xf numFmtId="0" fontId="11" fillId="0" borderId="2" xfId="0" applyFont="1" applyBorder="1" applyAlignment="1">
      <alignment horizontal="left" vertical="center" wrapText="1"/>
    </xf>
    <xf numFmtId="166" fontId="2" fillId="3" borderId="2" xfId="1" applyNumberFormat="1" applyFont="1" applyFill="1" applyBorder="1" applyAlignment="1">
      <alignment horizontal="center" vertical="center" wrapText="1"/>
    </xf>
    <xf numFmtId="166" fontId="9" fillId="3" borderId="2" xfId="1" applyNumberFormat="1" applyFont="1" applyFill="1" applyBorder="1" applyAlignment="1">
      <alignment horizontal="right" vertical="center"/>
    </xf>
    <xf numFmtId="166" fontId="10" fillId="3" borderId="2" xfId="1" applyNumberFormat="1" applyFont="1" applyFill="1" applyBorder="1" applyAlignment="1">
      <alignment horizontal="right" vertical="center"/>
    </xf>
    <xf numFmtId="166" fontId="18" fillId="3" borderId="2" xfId="1" applyNumberFormat="1" applyFont="1" applyFill="1" applyBorder="1" applyAlignment="1">
      <alignment horizontal="right" vertical="center"/>
    </xf>
    <xf numFmtId="166" fontId="3" fillId="3" borderId="2" xfId="1" applyNumberFormat="1" applyFont="1" applyFill="1" applyBorder="1" applyAlignment="1">
      <alignment horizontal="right" vertical="center"/>
    </xf>
    <xf numFmtId="166" fontId="2" fillId="3" borderId="2" xfId="1" applyNumberFormat="1" applyFont="1" applyFill="1" applyBorder="1" applyAlignment="1">
      <alignment horizontal="right" vertical="center"/>
    </xf>
    <xf numFmtId="0" fontId="0" fillId="3" borderId="0" xfId="0" applyFill="1"/>
    <xf numFmtId="169" fontId="10" fillId="0" borderId="2" xfId="1" applyNumberFormat="1" applyFont="1" applyFill="1" applyBorder="1" applyAlignment="1">
      <alignment horizontal="right" vertical="center"/>
    </xf>
    <xf numFmtId="169" fontId="10" fillId="3" borderId="2" xfId="1" applyNumberFormat="1" applyFont="1" applyFill="1" applyBorder="1" applyAlignment="1">
      <alignment horizontal="right" vertical="center"/>
    </xf>
    <xf numFmtId="166" fontId="31" fillId="0" borderId="2" xfId="1" applyNumberFormat="1" applyFont="1" applyFill="1" applyBorder="1" applyAlignment="1">
      <alignment horizontal="center" vertical="center" wrapText="1"/>
    </xf>
    <xf numFmtId="166" fontId="31" fillId="3" borderId="2" xfId="1" applyNumberFormat="1" applyFont="1" applyFill="1" applyBorder="1" applyAlignment="1">
      <alignment horizontal="center" vertical="center" wrapText="1"/>
    </xf>
    <xf numFmtId="0" fontId="32" fillId="0" borderId="0" xfId="0" applyFont="1"/>
    <xf numFmtId="0" fontId="13" fillId="0" borderId="2" xfId="2" applyNumberFormat="1" applyFont="1" applyFill="1" applyBorder="1" applyAlignment="1">
      <alignment horizontal="left" vertical="center" wrapText="1"/>
    </xf>
    <xf numFmtId="166" fontId="13" fillId="0" borderId="2" xfId="1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166" fontId="13" fillId="0" borderId="2" xfId="2" applyNumberFormat="1" applyFont="1" applyFill="1" applyBorder="1" applyAlignment="1">
      <alignment horizontal="center" vertical="center" wrapText="1"/>
    </xf>
    <xf numFmtId="166" fontId="16" fillId="0" borderId="2" xfId="1" applyNumberFormat="1" applyFont="1" applyFill="1" applyBorder="1" applyAlignment="1">
      <alignment horizontal="left" vertical="center" wrapText="1"/>
    </xf>
    <xf numFmtId="166" fontId="16" fillId="0" borderId="2" xfId="1" applyNumberFormat="1" applyFont="1" applyFill="1" applyBorder="1" applyAlignment="1">
      <alignment horizontal="right" vertical="center"/>
    </xf>
    <xf numFmtId="166" fontId="16" fillId="3" borderId="2" xfId="1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left" vertical="center" wrapText="1"/>
    </xf>
    <xf numFmtId="1" fontId="13" fillId="0" borderId="2" xfId="6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0" fillId="0" borderId="0" xfId="0" applyNumberFormat="1"/>
    <xf numFmtId="171" fontId="31" fillId="0" borderId="2" xfId="1" applyNumberFormat="1" applyFont="1" applyFill="1" applyBorder="1" applyAlignment="1">
      <alignment horizontal="center" vertical="center" wrapText="1"/>
    </xf>
    <xf numFmtId="164" fontId="13" fillId="0" borderId="2" xfId="1" applyNumberFormat="1" applyFont="1" applyFill="1" applyBorder="1" applyAlignment="1">
      <alignment horizontal="right" vertical="center"/>
    </xf>
    <xf numFmtId="169" fontId="0" fillId="0" borderId="0" xfId="0" applyNumberFormat="1"/>
    <xf numFmtId="166" fontId="5" fillId="0" borderId="2" xfId="1" applyNumberFormat="1" applyFont="1" applyFill="1" applyBorder="1" applyAlignment="1">
      <alignment vertical="center" wrapText="1"/>
    </xf>
    <xf numFmtId="166" fontId="16" fillId="3" borderId="2" xfId="1" applyNumberFormat="1" applyFont="1" applyFill="1" applyBorder="1" applyAlignment="1">
      <alignment horizontal="center" vertical="center" wrapText="1"/>
    </xf>
    <xf numFmtId="166" fontId="29" fillId="3" borderId="2" xfId="1" applyNumberFormat="1" applyFont="1" applyFill="1" applyBorder="1" applyAlignment="1">
      <alignment horizontal="center" vertical="center" wrapText="1"/>
    </xf>
    <xf numFmtId="166" fontId="9" fillId="3" borderId="2" xfId="1" applyNumberFormat="1" applyFont="1" applyFill="1" applyBorder="1" applyAlignment="1">
      <alignment horizontal="center" vertical="center" wrapText="1"/>
    </xf>
    <xf numFmtId="3" fontId="26" fillId="3" borderId="12" xfId="3" applyNumberFormat="1" applyFont="1" applyFill="1" applyBorder="1" applyAlignment="1">
      <alignment horizontal="right" vertical="center" wrapText="1"/>
    </xf>
    <xf numFmtId="3" fontId="12" fillId="3" borderId="12" xfId="3" applyNumberFormat="1" applyFont="1" applyFill="1" applyBorder="1" applyAlignment="1">
      <alignment horizontal="right" vertical="center" wrapText="1"/>
    </xf>
    <xf numFmtId="0" fontId="36" fillId="0" borderId="0" xfId="0" applyFont="1"/>
    <xf numFmtId="166" fontId="37" fillId="0" borderId="0" xfId="1" applyNumberFormat="1" applyFont="1" applyFill="1" applyAlignment="1">
      <alignment horizontal="center" vertical="center" wrapText="1"/>
    </xf>
    <xf numFmtId="166" fontId="35" fillId="0" borderId="0" xfId="1" applyNumberFormat="1" applyFont="1" applyFill="1" applyAlignment="1">
      <alignment horizont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2" fillId="0" borderId="2" xfId="1" applyNumberFormat="1" applyFont="1" applyFill="1" applyBorder="1" applyAlignment="1">
      <alignment horizontal="center" vertical="center" wrapText="1"/>
    </xf>
    <xf numFmtId="166" fontId="2" fillId="3" borderId="12" xfId="1" applyNumberFormat="1" applyFont="1" applyFill="1" applyBorder="1" applyAlignment="1">
      <alignment horizontal="center" vertical="center" wrapText="1"/>
    </xf>
    <xf numFmtId="166" fontId="2" fillId="0" borderId="10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2" fillId="0" borderId="11" xfId="1" applyNumberFormat="1" applyFont="1" applyFill="1" applyBorder="1" applyAlignment="1">
      <alignment horizontal="center" vertical="center" wrapText="1"/>
    </xf>
    <xf numFmtId="166" fontId="33" fillId="0" borderId="6" xfId="1" applyNumberFormat="1" applyFont="1" applyFill="1" applyBorder="1" applyAlignment="1">
      <alignment horizontal="center" vertical="center" wrapText="1"/>
    </xf>
    <xf numFmtId="166" fontId="33" fillId="0" borderId="7" xfId="1" applyNumberFormat="1" applyFont="1" applyFill="1" applyBorder="1" applyAlignment="1">
      <alignment horizontal="center" vertical="center" wrapText="1"/>
    </xf>
    <xf numFmtId="166" fontId="33" fillId="0" borderId="8" xfId="1" applyNumberFormat="1" applyFont="1" applyFill="1" applyBorder="1" applyAlignment="1">
      <alignment horizontal="center" vertical="center" wrapText="1"/>
    </xf>
    <xf numFmtId="166" fontId="33" fillId="0" borderId="2" xfId="1" applyNumberFormat="1" applyFont="1" applyFill="1" applyBorder="1" applyAlignment="1">
      <alignment horizontal="center" vertical="center" wrapText="1"/>
    </xf>
    <xf numFmtId="166" fontId="18" fillId="0" borderId="13" xfId="1" applyNumberFormat="1" applyFont="1" applyFill="1" applyBorder="1" applyAlignment="1">
      <alignment horizontal="center" vertical="center" wrapText="1"/>
    </xf>
    <xf numFmtId="166" fontId="18" fillId="0" borderId="9" xfId="1" applyNumberFormat="1" applyFont="1" applyFill="1" applyBorder="1" applyAlignment="1">
      <alignment horizontal="center" vertical="center" wrapText="1"/>
    </xf>
    <xf numFmtId="166" fontId="18" fillId="0" borderId="12" xfId="1" applyNumberFormat="1" applyFont="1" applyFill="1" applyBorder="1" applyAlignment="1">
      <alignment horizontal="center" vertical="center" wrapText="1"/>
    </xf>
    <xf numFmtId="166" fontId="3" fillId="0" borderId="13" xfId="1" applyNumberFormat="1" applyFont="1" applyFill="1" applyBorder="1" applyAlignment="1">
      <alignment horizontal="center" vertical="center" wrapText="1"/>
    </xf>
    <xf numFmtId="166" fontId="3" fillId="0" borderId="9" xfId="1" applyNumberFormat="1" applyFont="1" applyFill="1" applyBorder="1" applyAlignment="1">
      <alignment horizontal="center" vertical="center" wrapText="1"/>
    </xf>
    <xf numFmtId="166" fontId="3" fillId="0" borderId="12" xfId="1" applyNumberFormat="1" applyFont="1" applyFill="1" applyBorder="1" applyAlignment="1">
      <alignment horizontal="center" vertical="center" wrapText="1"/>
    </xf>
    <xf numFmtId="166" fontId="31" fillId="0" borderId="13" xfId="1" applyNumberFormat="1" applyFont="1" applyFill="1" applyBorder="1" applyAlignment="1">
      <alignment horizontal="center" vertical="center" wrapText="1"/>
    </xf>
    <xf numFmtId="166" fontId="31" fillId="0" borderId="9" xfId="1" applyNumberFormat="1" applyFont="1" applyFill="1" applyBorder="1" applyAlignment="1">
      <alignment horizontal="center" vertical="center" wrapText="1"/>
    </xf>
    <xf numFmtId="166" fontId="31" fillId="0" borderId="12" xfId="1" applyNumberFormat="1" applyFont="1" applyFill="1" applyBorder="1" applyAlignment="1">
      <alignment horizontal="center" vertical="center" wrapText="1"/>
    </xf>
    <xf numFmtId="166" fontId="2" fillId="0" borderId="12" xfId="1" applyNumberFormat="1" applyFont="1" applyFill="1" applyBorder="1" applyAlignment="1">
      <alignment horizontal="center" vertical="center" wrapText="1"/>
    </xf>
    <xf numFmtId="166" fontId="2" fillId="3" borderId="9" xfId="1" applyNumberFormat="1" applyFont="1" applyFill="1" applyBorder="1" applyAlignment="1">
      <alignment horizontal="center" vertical="center" wrapText="1"/>
    </xf>
    <xf numFmtId="166" fontId="33" fillId="3" borderId="2" xfId="1" applyNumberFormat="1" applyFont="1" applyFill="1" applyBorder="1" applyAlignment="1">
      <alignment horizontal="center" vertical="center" wrapText="1"/>
    </xf>
    <xf numFmtId="166" fontId="5" fillId="0" borderId="6" xfId="1" applyNumberFormat="1" applyFont="1" applyFill="1" applyBorder="1" applyAlignment="1">
      <alignment horizontal="center" vertical="center" wrapText="1"/>
    </xf>
    <xf numFmtId="166" fontId="5" fillId="0" borderId="7" xfId="1" applyNumberFormat="1" applyFont="1" applyFill="1" applyBorder="1" applyAlignment="1">
      <alignment horizontal="center" vertical="center" wrapText="1"/>
    </xf>
    <xf numFmtId="166" fontId="5" fillId="0" borderId="8" xfId="1" applyNumberFormat="1" applyFont="1" applyFill="1" applyBorder="1" applyAlignment="1">
      <alignment horizontal="center" vertical="center" wrapText="1"/>
    </xf>
    <xf numFmtId="166" fontId="2" fillId="0" borderId="3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Comma 10 2" xfId="2" xr:uid="{00000000-0005-0000-0000-000001000000}"/>
    <cellStyle name="Comma 12" xfId="5" xr:uid="{2D0FD802-B17F-4075-AB49-931E0A03DC6C}"/>
    <cellStyle name="Comma 2" xfId="4" xr:uid="{58858930-8172-4A7E-AE49-5DE69335BBFA}"/>
    <cellStyle name="Normal" xfId="0" builtinId="0"/>
    <cellStyle name="Normal_Bieu mau (CV )" xfId="6" xr:uid="{E9BC8D6C-EEE5-43FC-9C87-A391123776B5}"/>
    <cellStyle name="Normal_No dong NTM Tu Nghia (02-2017)" xfId="3" xr:uid="{5FC0D5F4-4261-4124-8214-39A536DC3C1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FAC51-F0B2-465F-BDD6-E0F69B99D04A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E09B-D39F-45ED-9477-5E755567719E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047F7-A26F-444E-93BA-7F67A4367CBC}">
  <dimension ref="A1:AU153"/>
  <sheetViews>
    <sheetView tabSelected="1" view="pageBreakPreview" zoomScale="55" zoomScaleNormal="100" zoomScaleSheetLayoutView="55" workbookViewId="0">
      <selection activeCell="AA5" sqref="AA5:AE5"/>
    </sheetView>
  </sheetViews>
  <sheetFormatPr defaultRowHeight="13.8" x14ac:dyDescent="0.25"/>
  <cols>
    <col min="1" max="1" width="5.296875" customWidth="1"/>
    <col min="2" max="2" width="16.5" customWidth="1"/>
    <col min="3" max="3" width="9.69921875" customWidth="1"/>
    <col min="4" max="4" width="11.59765625" customWidth="1"/>
    <col min="5" max="5" width="9.296875" customWidth="1"/>
    <col min="6" max="9" width="7.59765625" customWidth="1"/>
    <col min="10" max="10" width="8.3984375" customWidth="1"/>
    <col min="11" max="11" width="10.59765625" customWidth="1"/>
    <col min="12" max="12" width="13.8984375" customWidth="1"/>
    <col min="13" max="13" width="6.3984375" customWidth="1"/>
    <col min="14" max="14" width="8.3984375" customWidth="1"/>
    <col min="15" max="15" width="7.69921875" customWidth="1"/>
    <col min="16" max="16" width="7.3984375" customWidth="1"/>
    <col min="17" max="17" width="8.59765625" customWidth="1"/>
    <col min="18" max="20" width="6.3984375" customWidth="1"/>
    <col min="21" max="21" width="8.8984375" customWidth="1"/>
    <col min="22" max="26" width="7.09765625" style="129" customWidth="1"/>
    <col min="27" max="27" width="8.19921875" customWidth="1"/>
    <col min="28" max="30" width="6.5" customWidth="1"/>
    <col min="31" max="42" width="8.3984375" customWidth="1"/>
    <col min="43" max="43" width="12.5" customWidth="1"/>
    <col min="44" max="44" width="18.3984375" customWidth="1"/>
    <col min="45" max="45" width="35.09765625" customWidth="1"/>
  </cols>
  <sheetData>
    <row r="1" spans="1:45" s="156" customFormat="1" ht="46.8" customHeight="1" x14ac:dyDescent="0.35">
      <c r="A1" s="158" t="s">
        <v>417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</row>
    <row r="2" spans="1:45" s="156" customFormat="1" ht="21.6" customHeight="1" x14ac:dyDescent="0.35">
      <c r="A2" s="157" t="s">
        <v>419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</row>
    <row r="3" spans="1:4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59" t="s">
        <v>418</v>
      </c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</row>
    <row r="4" spans="1:45" ht="24.6" customHeight="1" x14ac:dyDescent="0.25">
      <c r="A4" s="160" t="s">
        <v>0</v>
      </c>
      <c r="B4" s="160" t="s">
        <v>1</v>
      </c>
      <c r="C4" s="160" t="s">
        <v>2</v>
      </c>
      <c r="D4" s="160"/>
      <c r="E4" s="160"/>
      <c r="F4" s="160"/>
      <c r="G4" s="160"/>
      <c r="H4" s="160"/>
      <c r="I4" s="160"/>
      <c r="J4" s="160" t="s">
        <v>406</v>
      </c>
      <c r="K4" s="160"/>
      <c r="L4" s="182" t="s">
        <v>408</v>
      </c>
      <c r="M4" s="183"/>
      <c r="N4" s="183"/>
      <c r="O4" s="183"/>
      <c r="P4" s="183"/>
      <c r="Q4" s="183"/>
      <c r="R4" s="183"/>
      <c r="S4" s="183"/>
      <c r="T4" s="183"/>
      <c r="U4" s="184"/>
      <c r="V4" s="166" t="s">
        <v>410</v>
      </c>
      <c r="W4" s="167"/>
      <c r="X4" s="167"/>
      <c r="Y4" s="167"/>
      <c r="Z4" s="167"/>
      <c r="AA4" s="167"/>
      <c r="AB4" s="167"/>
      <c r="AC4" s="167"/>
      <c r="AD4" s="167"/>
      <c r="AE4" s="168"/>
      <c r="AF4" s="161" t="s">
        <v>412</v>
      </c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 t="s">
        <v>404</v>
      </c>
    </row>
    <row r="5" spans="1:45" ht="62.4" customHeight="1" x14ac:dyDescent="0.2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 t="s">
        <v>407</v>
      </c>
      <c r="M5" s="160"/>
      <c r="N5" s="160"/>
      <c r="O5" s="160"/>
      <c r="P5" s="160"/>
      <c r="Q5" s="160" t="s">
        <v>409</v>
      </c>
      <c r="R5" s="160"/>
      <c r="S5" s="160"/>
      <c r="T5" s="160"/>
      <c r="U5" s="160"/>
      <c r="V5" s="181" t="s">
        <v>403</v>
      </c>
      <c r="W5" s="181"/>
      <c r="X5" s="181"/>
      <c r="Y5" s="181"/>
      <c r="Z5" s="181"/>
      <c r="AA5" s="169" t="s">
        <v>411</v>
      </c>
      <c r="AB5" s="169"/>
      <c r="AC5" s="169"/>
      <c r="AD5" s="169"/>
      <c r="AE5" s="169"/>
      <c r="AF5" s="161" t="s">
        <v>413</v>
      </c>
      <c r="AG5" s="185" t="s">
        <v>6</v>
      </c>
      <c r="AH5" s="186"/>
      <c r="AI5" s="186"/>
      <c r="AJ5" s="186"/>
      <c r="AK5" s="187"/>
      <c r="AL5" s="161" t="s">
        <v>414</v>
      </c>
      <c r="AM5" s="161"/>
      <c r="AN5" s="161"/>
      <c r="AO5" s="161"/>
      <c r="AP5" s="161"/>
      <c r="AQ5" s="161"/>
    </row>
    <row r="6" spans="1:45" ht="31.8" customHeight="1" x14ac:dyDescent="0.25">
      <c r="A6" s="160"/>
      <c r="B6" s="160"/>
      <c r="C6" s="160" t="s">
        <v>3</v>
      </c>
      <c r="D6" s="160" t="s">
        <v>4</v>
      </c>
      <c r="E6" s="160" t="s">
        <v>5</v>
      </c>
      <c r="F6" s="160" t="s">
        <v>6</v>
      </c>
      <c r="G6" s="160"/>
      <c r="H6" s="160"/>
      <c r="I6" s="160"/>
      <c r="J6" s="160"/>
      <c r="K6" s="160"/>
      <c r="L6" s="161" t="s">
        <v>5</v>
      </c>
      <c r="M6" s="161" t="s">
        <v>6</v>
      </c>
      <c r="N6" s="161"/>
      <c r="O6" s="161"/>
      <c r="P6" s="161"/>
      <c r="Q6" s="161" t="s">
        <v>5</v>
      </c>
      <c r="R6" s="161" t="s">
        <v>6</v>
      </c>
      <c r="S6" s="161"/>
      <c r="T6" s="161"/>
      <c r="U6" s="161"/>
      <c r="V6" s="180" t="s">
        <v>11</v>
      </c>
      <c r="W6" s="162" t="s">
        <v>6</v>
      </c>
      <c r="X6" s="162"/>
      <c r="Y6" s="162"/>
      <c r="Z6" s="162"/>
      <c r="AA6" s="179" t="s">
        <v>5</v>
      </c>
      <c r="AB6" s="163" t="s">
        <v>6</v>
      </c>
      <c r="AC6" s="164"/>
      <c r="AD6" s="164"/>
      <c r="AE6" s="165"/>
      <c r="AF6" s="161"/>
      <c r="AG6" s="161" t="s">
        <v>5</v>
      </c>
      <c r="AH6" s="161" t="s">
        <v>415</v>
      </c>
      <c r="AI6" s="161"/>
      <c r="AJ6" s="161"/>
      <c r="AK6" s="161"/>
      <c r="AL6" s="161" t="s">
        <v>5</v>
      </c>
      <c r="AM6" s="161" t="s">
        <v>415</v>
      </c>
      <c r="AN6" s="161"/>
      <c r="AO6" s="161"/>
      <c r="AP6" s="161"/>
      <c r="AQ6" s="161"/>
    </row>
    <row r="7" spans="1:45" ht="131.4" customHeight="1" x14ac:dyDescent="0.25">
      <c r="A7" s="160"/>
      <c r="B7" s="160"/>
      <c r="C7" s="160"/>
      <c r="D7" s="160"/>
      <c r="E7" s="160"/>
      <c r="F7" s="145" t="s">
        <v>7</v>
      </c>
      <c r="G7" s="145" t="s">
        <v>8</v>
      </c>
      <c r="H7" s="145" t="s">
        <v>9</v>
      </c>
      <c r="I7" s="145" t="s">
        <v>58</v>
      </c>
      <c r="J7" s="2" t="s">
        <v>5</v>
      </c>
      <c r="K7" s="145" t="s">
        <v>405</v>
      </c>
      <c r="L7" s="161"/>
      <c r="M7" s="2" t="s">
        <v>7</v>
      </c>
      <c r="N7" s="2" t="s">
        <v>8</v>
      </c>
      <c r="O7" s="2" t="s">
        <v>9</v>
      </c>
      <c r="P7" s="2" t="s">
        <v>58</v>
      </c>
      <c r="Q7" s="161"/>
      <c r="R7" s="2" t="s">
        <v>7</v>
      </c>
      <c r="S7" s="2" t="s">
        <v>8</v>
      </c>
      <c r="T7" s="2" t="s">
        <v>9</v>
      </c>
      <c r="U7" s="2" t="s">
        <v>58</v>
      </c>
      <c r="V7" s="162"/>
      <c r="W7" s="123" t="s">
        <v>7</v>
      </c>
      <c r="X7" s="123" t="s">
        <v>8</v>
      </c>
      <c r="Y7" s="123" t="s">
        <v>9</v>
      </c>
      <c r="Z7" s="123" t="s">
        <v>58</v>
      </c>
      <c r="AA7" s="161"/>
      <c r="AB7" s="2" t="s">
        <v>7</v>
      </c>
      <c r="AC7" s="2" t="s">
        <v>8</v>
      </c>
      <c r="AD7" s="2" t="s">
        <v>9</v>
      </c>
      <c r="AE7" s="2" t="s">
        <v>58</v>
      </c>
      <c r="AF7" s="161"/>
      <c r="AG7" s="161"/>
      <c r="AH7" s="2" t="s">
        <v>7</v>
      </c>
      <c r="AI7" s="2" t="s">
        <v>8</v>
      </c>
      <c r="AJ7" s="2" t="s">
        <v>9</v>
      </c>
      <c r="AK7" s="150" t="s">
        <v>416</v>
      </c>
      <c r="AL7" s="161"/>
      <c r="AM7" s="2" t="s">
        <v>7</v>
      </c>
      <c r="AN7" s="2" t="s">
        <v>8</v>
      </c>
      <c r="AO7" s="2" t="s">
        <v>9</v>
      </c>
      <c r="AP7" s="150" t="s">
        <v>416</v>
      </c>
      <c r="AQ7" s="161"/>
    </row>
    <row r="8" spans="1:45" x14ac:dyDescent="0.25">
      <c r="A8" s="3"/>
      <c r="B8" s="4" t="s">
        <v>10</v>
      </c>
      <c r="C8" s="3"/>
      <c r="D8" s="3"/>
      <c r="E8" s="4">
        <f t="shared" ref="E8:Z8" si="0">E9+E24+E46+E68+E70+E73+E98+E123+E131+E135+E137</f>
        <v>180475.09309800001</v>
      </c>
      <c r="F8" s="4">
        <f t="shared" si="0"/>
        <v>1860</v>
      </c>
      <c r="G8" s="4">
        <f t="shared" si="0"/>
        <v>93828</v>
      </c>
      <c r="H8" s="4">
        <f t="shared" si="0"/>
        <v>25467.400999999998</v>
      </c>
      <c r="I8" s="4">
        <f t="shared" si="0"/>
        <v>59588.103098</v>
      </c>
      <c r="J8" s="4">
        <f t="shared" si="0"/>
        <v>170030.79577999999</v>
      </c>
      <c r="K8" s="4">
        <f t="shared" si="0"/>
        <v>0</v>
      </c>
      <c r="L8" s="4">
        <f t="shared" si="0"/>
        <v>150518.02761600001</v>
      </c>
      <c r="M8" s="4">
        <f t="shared" si="0"/>
        <v>1822.56</v>
      </c>
      <c r="N8" s="4">
        <f t="shared" si="0"/>
        <v>89276.940999999992</v>
      </c>
      <c r="O8" s="4">
        <f t="shared" si="0"/>
        <v>24876.793000000001</v>
      </c>
      <c r="P8" s="4">
        <f t="shared" si="0"/>
        <v>34061.25761600001</v>
      </c>
      <c r="Q8" s="4">
        <f t="shared" si="0"/>
        <v>10910.761381999999</v>
      </c>
      <c r="R8" s="4">
        <f t="shared" si="0"/>
        <v>862.56</v>
      </c>
      <c r="S8" s="4">
        <f t="shared" si="0"/>
        <v>0</v>
      </c>
      <c r="T8" s="4">
        <f t="shared" si="0"/>
        <v>126.218</v>
      </c>
      <c r="U8" s="4">
        <f t="shared" si="0"/>
        <v>10757.114382</v>
      </c>
      <c r="V8" s="123">
        <f t="shared" si="0"/>
        <v>19513.725977000006</v>
      </c>
      <c r="W8" s="123">
        <f t="shared" si="0"/>
        <v>0</v>
      </c>
      <c r="X8" s="123">
        <f t="shared" si="0"/>
        <v>0</v>
      </c>
      <c r="Y8" s="123">
        <f t="shared" si="0"/>
        <v>0</v>
      </c>
      <c r="Z8" s="123">
        <f t="shared" si="0"/>
        <v>19513.725977000006</v>
      </c>
      <c r="AA8" s="4">
        <f t="shared" ref="AA8" si="1">AA9+AA24+AA46+AA68+AA70+AA73+AA98+AA123+AA131+AA135+AA137</f>
        <v>0</v>
      </c>
      <c r="AB8" s="4">
        <f t="shared" ref="AB8" si="2">AB9+AB24+AB46+AB68+AB70+AB73+AB98+AB123+AB131+AB135+AB137</f>
        <v>0</v>
      </c>
      <c r="AC8" s="4">
        <f t="shared" ref="AC8" si="3">AC9+AC24+AC46+AC68+AC70+AC73+AC98+AC123+AC131+AC135+AC137</f>
        <v>0</v>
      </c>
      <c r="AD8" s="4">
        <f t="shared" ref="AD8" si="4">AD9+AD24+AD46+AD68+AD70+AD73+AD98+AD123+AD131+AD135+AD137</f>
        <v>0</v>
      </c>
      <c r="AE8" s="4">
        <f t="shared" ref="AE8" si="5">AE9+AE24+AE46+AE68+AE70+AE73+AE98+AE123+AE131+AE135+AE137</f>
        <v>0</v>
      </c>
      <c r="AF8" s="4">
        <f t="shared" ref="AF8" si="6">AF9+AF24+AF46+AF68+AF70+AF73+AF98+AF123+AF131+AF135+AF137</f>
        <v>0</v>
      </c>
      <c r="AG8" s="4">
        <f t="shared" ref="AG8" si="7">AG9+AG24+AG46+AG68+AG70+AG73+AG98+AG123+AG131+AG135+AG137</f>
        <v>0</v>
      </c>
      <c r="AH8" s="4">
        <f t="shared" ref="AH8" si="8">AH9+AH24+AH46+AH68+AH70+AH73+AH98+AH123+AH131+AH135+AH137</f>
        <v>0</v>
      </c>
      <c r="AI8" s="4">
        <f t="shared" ref="AI8" si="9">AI9+AI24+AI46+AI68+AI70+AI73+AI98+AI123+AI131+AI135+AI137</f>
        <v>0</v>
      </c>
      <c r="AJ8" s="4">
        <f t="shared" ref="AJ8" si="10">AJ9+AJ24+AJ46+AJ68+AJ70+AJ73+AJ98+AJ123+AJ131+AJ135+AJ137</f>
        <v>0</v>
      </c>
      <c r="AK8" s="4">
        <f t="shared" ref="AK8" si="11">AK9+AK24+AK46+AK68+AK70+AK73+AK98+AK123+AK131+AK135+AK137</f>
        <v>0</v>
      </c>
      <c r="AL8" s="4">
        <f t="shared" ref="AL8" si="12">AL9+AL24+AL46+AL68+AL70+AL73+AL98+AL123+AL131+AL135+AL137</f>
        <v>0</v>
      </c>
      <c r="AM8" s="4">
        <f t="shared" ref="AM8" si="13">AM9+AM24+AM46+AM68+AM70+AM73+AM98+AM123+AM131+AM135+AM137</f>
        <v>0</v>
      </c>
      <c r="AN8" s="4">
        <f t="shared" ref="AN8" si="14">AN9+AN24+AN46+AN68+AN70+AN73+AN98+AN123+AN131+AN135+AN137</f>
        <v>0</v>
      </c>
      <c r="AO8" s="4">
        <f t="shared" ref="AO8" si="15">AO9+AO24+AO46+AO68+AO70+AO73+AO98+AO123+AO131+AO135+AO137</f>
        <v>0</v>
      </c>
      <c r="AP8" s="4">
        <f t="shared" ref="AP8" si="16">AP9+AP24+AP46+AP68+AP70+AP73+AP98+AP123+AP131+AP135+AP137</f>
        <v>0</v>
      </c>
      <c r="AQ8" s="5"/>
      <c r="AR8" s="146">
        <f t="shared" ref="AR8:AR39" si="17">J8-L8</f>
        <v>19512.768163999979</v>
      </c>
      <c r="AS8" s="146">
        <f t="shared" ref="AS8:AS39" si="18">AR8-Z8</f>
        <v>-0.95781300002636272</v>
      </c>
    </row>
    <row r="9" spans="1:45" s="37" customFormat="1" ht="26.4" x14ac:dyDescent="0.25">
      <c r="A9" s="114" t="s">
        <v>402</v>
      </c>
      <c r="B9" s="115" t="s">
        <v>61</v>
      </c>
      <c r="C9" s="114"/>
      <c r="D9" s="114"/>
      <c r="E9" s="114">
        <f>SUM(E10:E23)</f>
        <v>37315.441641999998</v>
      </c>
      <c r="F9" s="114">
        <f t="shared" ref="F9:Z9" si="19">SUM(F10:F23)</f>
        <v>0</v>
      </c>
      <c r="G9" s="114">
        <f t="shared" si="19"/>
        <v>0</v>
      </c>
      <c r="H9" s="114">
        <f t="shared" si="19"/>
        <v>6085.8689999999997</v>
      </c>
      <c r="I9" s="114">
        <f t="shared" si="19"/>
        <v>30773.935641999997</v>
      </c>
      <c r="J9" s="114">
        <f t="shared" si="19"/>
        <v>34585.048999999999</v>
      </c>
      <c r="K9" s="114">
        <f t="shared" si="19"/>
        <v>0</v>
      </c>
      <c r="L9" s="114">
        <f t="shared" si="19"/>
        <v>23753.859161</v>
      </c>
      <c r="M9" s="114">
        <f t="shared" si="19"/>
        <v>0</v>
      </c>
      <c r="N9" s="114">
        <f t="shared" si="19"/>
        <v>0</v>
      </c>
      <c r="O9" s="114">
        <f t="shared" si="19"/>
        <v>5550</v>
      </c>
      <c r="P9" s="114">
        <f t="shared" si="19"/>
        <v>18203.859161000004</v>
      </c>
      <c r="Q9" s="114">
        <f t="shared" si="19"/>
        <v>583</v>
      </c>
      <c r="R9" s="114">
        <f t="shared" si="19"/>
        <v>0</v>
      </c>
      <c r="S9" s="114">
        <f t="shared" si="19"/>
        <v>0</v>
      </c>
      <c r="T9" s="114">
        <f t="shared" si="19"/>
        <v>0</v>
      </c>
      <c r="U9" s="114">
        <f t="shared" si="19"/>
        <v>583</v>
      </c>
      <c r="V9" s="151">
        <f t="shared" si="19"/>
        <v>10831.189839000002</v>
      </c>
      <c r="W9" s="151">
        <f t="shared" si="19"/>
        <v>0</v>
      </c>
      <c r="X9" s="151">
        <f t="shared" si="19"/>
        <v>0</v>
      </c>
      <c r="Y9" s="151">
        <f t="shared" si="19"/>
        <v>0</v>
      </c>
      <c r="Z9" s="151">
        <f t="shared" si="19"/>
        <v>10831.189839000002</v>
      </c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5"/>
      <c r="AR9" s="146">
        <f t="shared" si="17"/>
        <v>10831.189838999999</v>
      </c>
      <c r="AS9" s="146">
        <f t="shared" si="18"/>
        <v>0</v>
      </c>
    </row>
    <row r="10" spans="1:45" s="22" customFormat="1" ht="39.6" customHeight="1" x14ac:dyDescent="0.25">
      <c r="A10" s="10">
        <v>1</v>
      </c>
      <c r="B10" s="24" t="s">
        <v>62</v>
      </c>
      <c r="C10" s="10" t="s">
        <v>63</v>
      </c>
      <c r="D10" s="10" t="s">
        <v>64</v>
      </c>
      <c r="E10" s="25">
        <f>SUM(F10:I10)</f>
        <v>4163</v>
      </c>
      <c r="F10" s="26"/>
      <c r="G10" s="26"/>
      <c r="H10" s="26"/>
      <c r="I10" s="27">
        <v>4163</v>
      </c>
      <c r="J10" s="11">
        <v>3936.1260000000002</v>
      </c>
      <c r="K10" s="11">
        <v>0</v>
      </c>
      <c r="L10" s="25">
        <f>SUM(M10:P10)</f>
        <v>3919.96</v>
      </c>
      <c r="M10" s="27"/>
      <c r="N10" s="27"/>
      <c r="O10" s="28"/>
      <c r="P10" s="27">
        <f>3936.126-106.166+U10</f>
        <v>3919.96</v>
      </c>
      <c r="Q10" s="17">
        <f>R10+S10+T10+U10</f>
        <v>90</v>
      </c>
      <c r="R10" s="11"/>
      <c r="S10" s="11"/>
      <c r="T10" s="11"/>
      <c r="U10" s="17">
        <v>90</v>
      </c>
      <c r="V10" s="125">
        <f>SUM(W10:Z10)</f>
        <v>16.166000000000167</v>
      </c>
      <c r="W10" s="124"/>
      <c r="X10" s="124"/>
      <c r="Y10" s="124"/>
      <c r="Z10" s="125">
        <v>16.166000000000167</v>
      </c>
      <c r="AA10" s="17"/>
      <c r="AB10" s="11"/>
      <c r="AC10" s="11"/>
      <c r="AD10" s="11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23"/>
      <c r="AR10" s="146">
        <f t="shared" si="17"/>
        <v>16.166000000000167</v>
      </c>
      <c r="AS10" s="146">
        <f t="shared" si="18"/>
        <v>0</v>
      </c>
    </row>
    <row r="11" spans="1:45" s="22" customFormat="1" ht="52.8" x14ac:dyDescent="0.25">
      <c r="A11" s="10">
        <v>2</v>
      </c>
      <c r="B11" s="24" t="s">
        <v>65</v>
      </c>
      <c r="C11" s="10" t="s">
        <v>66</v>
      </c>
      <c r="D11" s="10" t="s">
        <v>67</v>
      </c>
      <c r="E11" s="29">
        <f>SUM(F11:I11)</f>
        <v>971.47400000000005</v>
      </c>
      <c r="F11" s="30"/>
      <c r="G11" s="30"/>
      <c r="H11" s="30"/>
      <c r="I11" s="31">
        <v>971.47400000000005</v>
      </c>
      <c r="J11" s="11">
        <v>895.72500000000002</v>
      </c>
      <c r="K11" s="11">
        <v>0</v>
      </c>
      <c r="L11" s="29">
        <f>SUM(M11:P11)</f>
        <v>670</v>
      </c>
      <c r="M11" s="31"/>
      <c r="N11" s="31"/>
      <c r="O11" s="32"/>
      <c r="P11" s="31">
        <f>670+U11</f>
        <v>670</v>
      </c>
      <c r="Q11" s="11">
        <f t="shared" ref="Q11:Q23" si="20">R11+S11+T11+U11</f>
        <v>0</v>
      </c>
      <c r="R11" s="11"/>
      <c r="S11" s="11"/>
      <c r="T11" s="11"/>
      <c r="U11" s="17">
        <v>0</v>
      </c>
      <c r="V11" s="125">
        <f t="shared" ref="V11:V23" si="21">SUM(W11:Z11)</f>
        <v>225.72500000000002</v>
      </c>
      <c r="W11" s="124"/>
      <c r="X11" s="124"/>
      <c r="Y11" s="124"/>
      <c r="Z11" s="125">
        <v>225.72500000000002</v>
      </c>
      <c r="AA11" s="17"/>
      <c r="AB11" s="11"/>
      <c r="AC11" s="11"/>
      <c r="AD11" s="11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23"/>
      <c r="AR11" s="146">
        <f t="shared" si="17"/>
        <v>225.72500000000002</v>
      </c>
      <c r="AS11" s="146">
        <f t="shared" si="18"/>
        <v>0</v>
      </c>
    </row>
    <row r="12" spans="1:45" s="22" customFormat="1" ht="52.8" x14ac:dyDescent="0.25">
      <c r="A12" s="10">
        <v>3</v>
      </c>
      <c r="B12" s="24" t="s">
        <v>68</v>
      </c>
      <c r="C12" s="10" t="s">
        <v>69</v>
      </c>
      <c r="D12" s="10"/>
      <c r="E12" s="25">
        <f>SUM(F12:I12)</f>
        <v>660</v>
      </c>
      <c r="F12" s="26"/>
      <c r="G12" s="26"/>
      <c r="H12" s="26"/>
      <c r="I12" s="27">
        <v>660</v>
      </c>
      <c r="J12" s="11">
        <v>605.87099999999998</v>
      </c>
      <c r="K12" s="11">
        <v>0</v>
      </c>
      <c r="L12" s="25">
        <f>SUM(M12:P12)</f>
        <v>315</v>
      </c>
      <c r="M12" s="27"/>
      <c r="N12" s="27"/>
      <c r="O12" s="28"/>
      <c r="P12" s="27">
        <f>315+U12</f>
        <v>315</v>
      </c>
      <c r="Q12" s="11">
        <f t="shared" si="20"/>
        <v>0</v>
      </c>
      <c r="R12" s="11"/>
      <c r="S12" s="11"/>
      <c r="T12" s="11"/>
      <c r="U12" s="17">
        <v>0</v>
      </c>
      <c r="V12" s="125">
        <f t="shared" si="21"/>
        <v>290.87099999999998</v>
      </c>
      <c r="W12" s="124"/>
      <c r="X12" s="124"/>
      <c r="Y12" s="124"/>
      <c r="Z12" s="125">
        <v>290.87099999999998</v>
      </c>
      <c r="AA12" s="17"/>
      <c r="AB12" s="11"/>
      <c r="AC12" s="11"/>
      <c r="AD12" s="11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23"/>
      <c r="AR12" s="146">
        <f t="shared" si="17"/>
        <v>290.87099999999998</v>
      </c>
      <c r="AS12" s="146">
        <f t="shared" si="18"/>
        <v>0</v>
      </c>
    </row>
    <row r="13" spans="1:45" s="22" customFormat="1" ht="52.8" x14ac:dyDescent="0.25">
      <c r="A13" s="10">
        <v>4</v>
      </c>
      <c r="B13" s="24" t="s">
        <v>70</v>
      </c>
      <c r="C13" s="10" t="s">
        <v>71</v>
      </c>
      <c r="D13" s="10" t="s">
        <v>72</v>
      </c>
      <c r="E13" s="25">
        <f>SUM(F13:I13)</f>
        <v>1323</v>
      </c>
      <c r="F13" s="26"/>
      <c r="G13" s="26"/>
      <c r="H13" s="26"/>
      <c r="I13" s="27">
        <v>1323</v>
      </c>
      <c r="J13" s="11">
        <v>1274.8789999999999</v>
      </c>
      <c r="K13" s="11">
        <v>0</v>
      </c>
      <c r="L13" s="25">
        <f>SUM(M13:P13)</f>
        <v>1221.1479999999999</v>
      </c>
      <c r="M13" s="27"/>
      <c r="N13" s="27"/>
      <c r="O13" s="28"/>
      <c r="P13" s="27">
        <f>1186.165+30.079+4.904+U13</f>
        <v>1221.1479999999999</v>
      </c>
      <c r="Q13" s="11">
        <f t="shared" si="20"/>
        <v>0</v>
      </c>
      <c r="R13" s="11"/>
      <c r="S13" s="11"/>
      <c r="T13" s="11"/>
      <c r="U13" s="17">
        <v>0</v>
      </c>
      <c r="V13" s="125">
        <f t="shared" si="21"/>
        <v>53.730999999999995</v>
      </c>
      <c r="W13" s="124"/>
      <c r="X13" s="124"/>
      <c r="Y13" s="124"/>
      <c r="Z13" s="125">
        <v>53.730999999999995</v>
      </c>
      <c r="AA13" s="17"/>
      <c r="AB13" s="11"/>
      <c r="AC13" s="11"/>
      <c r="AD13" s="11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23"/>
      <c r="AR13" s="146">
        <f t="shared" si="17"/>
        <v>53.730999999999995</v>
      </c>
      <c r="AS13" s="146">
        <f t="shared" si="18"/>
        <v>0</v>
      </c>
    </row>
    <row r="14" spans="1:45" s="22" customFormat="1" ht="92.4" x14ac:dyDescent="0.25">
      <c r="A14" s="10">
        <v>5</v>
      </c>
      <c r="B14" s="24" t="s">
        <v>73</v>
      </c>
      <c r="C14" s="10" t="s">
        <v>74</v>
      </c>
      <c r="D14" s="10" t="s">
        <v>75</v>
      </c>
      <c r="E14" s="25">
        <f>SUM(F14:I14)</f>
        <v>3253</v>
      </c>
      <c r="F14" s="26"/>
      <c r="G14" s="26"/>
      <c r="H14" s="26"/>
      <c r="I14" s="27">
        <v>3253</v>
      </c>
      <c r="J14" s="11">
        <v>2907.3380000000002</v>
      </c>
      <c r="K14" s="11">
        <v>0</v>
      </c>
      <c r="L14" s="25">
        <f>SUM(M14:P14)</f>
        <v>2505.665</v>
      </c>
      <c r="M14" s="27"/>
      <c r="N14" s="27"/>
      <c r="O14" s="28"/>
      <c r="P14" s="27">
        <f>2505.665+U14</f>
        <v>2505.665</v>
      </c>
      <c r="Q14" s="11">
        <f t="shared" si="20"/>
        <v>0</v>
      </c>
      <c r="R14" s="11"/>
      <c r="S14" s="11"/>
      <c r="T14" s="11"/>
      <c r="U14" s="17">
        <v>0</v>
      </c>
      <c r="V14" s="125">
        <f t="shared" si="21"/>
        <v>401.67300000000023</v>
      </c>
      <c r="W14" s="124"/>
      <c r="X14" s="124"/>
      <c r="Y14" s="124"/>
      <c r="Z14" s="125">
        <v>401.67300000000023</v>
      </c>
      <c r="AA14" s="17"/>
      <c r="AB14" s="11"/>
      <c r="AC14" s="11"/>
      <c r="AD14" s="11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23"/>
      <c r="AR14" s="146">
        <f t="shared" si="17"/>
        <v>401.67300000000023</v>
      </c>
      <c r="AS14" s="146">
        <f t="shared" si="18"/>
        <v>0</v>
      </c>
    </row>
    <row r="15" spans="1:45" s="22" customFormat="1" ht="79.2" x14ac:dyDescent="0.25">
      <c r="A15" s="10">
        <v>6</v>
      </c>
      <c r="B15" s="24" t="s">
        <v>76</v>
      </c>
      <c r="C15" s="10" t="s">
        <v>77</v>
      </c>
      <c r="D15" s="10" t="s">
        <v>78</v>
      </c>
      <c r="E15" s="25">
        <v>3349.0630000000001</v>
      </c>
      <c r="F15" s="26"/>
      <c r="G15" s="26"/>
      <c r="H15" s="26"/>
      <c r="I15" s="27">
        <v>2893.4259999999999</v>
      </c>
      <c r="J15" s="11">
        <v>2893.4259999999999</v>
      </c>
      <c r="K15" s="11">
        <v>0</v>
      </c>
      <c r="L15" s="25">
        <f t="shared" ref="L15:L22" si="22">M15+N15+O15+P15</f>
        <v>1180</v>
      </c>
      <c r="M15" s="27"/>
      <c r="N15" s="27"/>
      <c r="O15" s="28"/>
      <c r="P15" s="27">
        <f>1180+U15</f>
        <v>1180</v>
      </c>
      <c r="Q15" s="11">
        <f t="shared" si="20"/>
        <v>0</v>
      </c>
      <c r="R15" s="11"/>
      <c r="S15" s="11"/>
      <c r="T15" s="11"/>
      <c r="U15" s="17">
        <v>0</v>
      </c>
      <c r="V15" s="125">
        <f t="shared" si="21"/>
        <v>1713.4259999999999</v>
      </c>
      <c r="W15" s="124"/>
      <c r="X15" s="124"/>
      <c r="Y15" s="124"/>
      <c r="Z15" s="125">
        <v>1713.4259999999999</v>
      </c>
      <c r="AA15" s="17"/>
      <c r="AB15" s="11"/>
      <c r="AC15" s="11"/>
      <c r="AD15" s="11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23"/>
      <c r="AR15" s="146">
        <f t="shared" si="17"/>
        <v>1713.4259999999999</v>
      </c>
      <c r="AS15" s="146">
        <f t="shared" si="18"/>
        <v>0</v>
      </c>
    </row>
    <row r="16" spans="1:45" s="22" customFormat="1" ht="52.8" x14ac:dyDescent="0.25">
      <c r="A16" s="10">
        <v>7</v>
      </c>
      <c r="B16" s="24" t="s">
        <v>79</v>
      </c>
      <c r="C16" s="10" t="s">
        <v>80</v>
      </c>
      <c r="D16" s="10" t="s">
        <v>81</v>
      </c>
      <c r="E16" s="25">
        <f t="shared" ref="E16:E22" si="23">F16+G16+H16+I16</f>
        <v>2571</v>
      </c>
      <c r="F16" s="26"/>
      <c r="G16" s="26"/>
      <c r="H16" s="26"/>
      <c r="I16" s="27">
        <v>2571</v>
      </c>
      <c r="J16" s="11">
        <v>2418.4</v>
      </c>
      <c r="K16" s="11">
        <v>0</v>
      </c>
      <c r="L16" s="25">
        <f t="shared" si="22"/>
        <v>1095</v>
      </c>
      <c r="M16" s="27"/>
      <c r="N16" s="27"/>
      <c r="O16" s="28"/>
      <c r="P16" s="27">
        <f>1047+U16</f>
        <v>1095</v>
      </c>
      <c r="Q16" s="11">
        <f t="shared" si="20"/>
        <v>48</v>
      </c>
      <c r="R16" s="11"/>
      <c r="S16" s="11"/>
      <c r="T16" s="11"/>
      <c r="U16" s="17">
        <v>48</v>
      </c>
      <c r="V16" s="125">
        <f t="shared" si="21"/>
        <v>1323.4</v>
      </c>
      <c r="W16" s="124"/>
      <c r="X16" s="124"/>
      <c r="Y16" s="124"/>
      <c r="Z16" s="125">
        <v>1323.4</v>
      </c>
      <c r="AA16" s="17"/>
      <c r="AB16" s="11"/>
      <c r="AC16" s="11"/>
      <c r="AD16" s="11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23"/>
      <c r="AR16" s="146">
        <f t="shared" si="17"/>
        <v>1323.4</v>
      </c>
      <c r="AS16" s="146">
        <f t="shared" si="18"/>
        <v>0</v>
      </c>
    </row>
    <row r="17" spans="1:45" s="22" customFormat="1" ht="39.6" x14ac:dyDescent="0.25">
      <c r="A17" s="10">
        <v>8</v>
      </c>
      <c r="B17" s="24" t="s">
        <v>82</v>
      </c>
      <c r="C17" s="10" t="s">
        <v>80</v>
      </c>
      <c r="D17" s="10" t="s">
        <v>83</v>
      </c>
      <c r="E17" s="29">
        <f t="shared" si="23"/>
        <v>2188.143</v>
      </c>
      <c r="F17" s="30"/>
      <c r="G17" s="30"/>
      <c r="H17" s="30"/>
      <c r="I17" s="31">
        <v>2188.143</v>
      </c>
      <c r="J17" s="11">
        <v>2069.491</v>
      </c>
      <c r="K17" s="11">
        <v>0</v>
      </c>
      <c r="L17" s="29">
        <f t="shared" si="22"/>
        <v>1971</v>
      </c>
      <c r="M17" s="31"/>
      <c r="N17" s="31"/>
      <c r="O17" s="32"/>
      <c r="P17" s="31">
        <f>1971+U17</f>
        <v>1971</v>
      </c>
      <c r="Q17" s="11">
        <f t="shared" si="20"/>
        <v>0</v>
      </c>
      <c r="R17" s="11"/>
      <c r="S17" s="11"/>
      <c r="T17" s="11"/>
      <c r="U17" s="17">
        <v>0</v>
      </c>
      <c r="V17" s="125">
        <f t="shared" si="21"/>
        <v>98.490999999999985</v>
      </c>
      <c r="W17" s="124"/>
      <c r="X17" s="124"/>
      <c r="Y17" s="124"/>
      <c r="Z17" s="125">
        <v>98.490999999999985</v>
      </c>
      <c r="AA17" s="17"/>
      <c r="AB17" s="11"/>
      <c r="AC17" s="11"/>
      <c r="AD17" s="11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23"/>
      <c r="AR17" s="146">
        <f t="shared" si="17"/>
        <v>98.490999999999985</v>
      </c>
      <c r="AS17" s="146">
        <f t="shared" si="18"/>
        <v>0</v>
      </c>
    </row>
    <row r="18" spans="1:45" s="22" customFormat="1" ht="52.8" x14ac:dyDescent="0.25">
      <c r="A18" s="10">
        <v>9</v>
      </c>
      <c r="B18" s="24" t="s">
        <v>84</v>
      </c>
      <c r="C18" s="10" t="s">
        <v>85</v>
      </c>
      <c r="D18" s="10" t="s">
        <v>86</v>
      </c>
      <c r="E18" s="25">
        <f t="shared" si="23"/>
        <v>2660</v>
      </c>
      <c r="F18" s="26"/>
      <c r="G18" s="26"/>
      <c r="H18" s="26"/>
      <c r="I18" s="27">
        <v>2660</v>
      </c>
      <c r="J18" s="11">
        <v>2343.69</v>
      </c>
      <c r="K18" s="11">
        <v>0</v>
      </c>
      <c r="L18" s="25">
        <f t="shared" si="22"/>
        <v>1400</v>
      </c>
      <c r="M18" s="27"/>
      <c r="N18" s="27"/>
      <c r="O18" s="28"/>
      <c r="P18" s="27">
        <f>900+500+U18</f>
        <v>1400</v>
      </c>
      <c r="Q18" s="11">
        <f t="shared" si="20"/>
        <v>0</v>
      </c>
      <c r="R18" s="11"/>
      <c r="S18" s="11"/>
      <c r="T18" s="11"/>
      <c r="U18" s="17">
        <v>0</v>
      </c>
      <c r="V18" s="125">
        <f t="shared" si="21"/>
        <v>943.69</v>
      </c>
      <c r="W18" s="124"/>
      <c r="X18" s="124"/>
      <c r="Y18" s="124"/>
      <c r="Z18" s="125">
        <v>943.69</v>
      </c>
      <c r="AA18" s="17"/>
      <c r="AB18" s="11"/>
      <c r="AC18" s="11"/>
      <c r="AD18" s="11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23"/>
      <c r="AR18" s="146">
        <f t="shared" si="17"/>
        <v>943.69</v>
      </c>
      <c r="AS18" s="146">
        <f t="shared" si="18"/>
        <v>0</v>
      </c>
    </row>
    <row r="19" spans="1:45" s="22" customFormat="1" ht="79.2" x14ac:dyDescent="0.25">
      <c r="A19" s="10">
        <v>10</v>
      </c>
      <c r="B19" s="24" t="s">
        <v>87</v>
      </c>
      <c r="C19" s="10" t="s">
        <v>88</v>
      </c>
      <c r="D19" s="10" t="s">
        <v>89</v>
      </c>
      <c r="E19" s="25">
        <f t="shared" si="23"/>
        <v>1595.771</v>
      </c>
      <c r="F19" s="26"/>
      <c r="G19" s="26"/>
      <c r="H19" s="26"/>
      <c r="I19" s="27">
        <v>1595.771</v>
      </c>
      <c r="J19" s="11">
        <v>1483.222</v>
      </c>
      <c r="K19" s="11">
        <v>0</v>
      </c>
      <c r="L19" s="25">
        <f t="shared" si="22"/>
        <v>950</v>
      </c>
      <c r="M19" s="27"/>
      <c r="N19" s="27"/>
      <c r="O19" s="28"/>
      <c r="P19" s="27">
        <f>650+300+U19</f>
        <v>950</v>
      </c>
      <c r="Q19" s="11">
        <f t="shared" si="20"/>
        <v>0</v>
      </c>
      <c r="R19" s="11"/>
      <c r="S19" s="11"/>
      <c r="T19" s="11"/>
      <c r="U19" s="17">
        <v>0</v>
      </c>
      <c r="V19" s="125">
        <f t="shared" si="21"/>
        <v>533.22199999999998</v>
      </c>
      <c r="W19" s="124"/>
      <c r="X19" s="124"/>
      <c r="Y19" s="124"/>
      <c r="Z19" s="125">
        <v>533.22199999999998</v>
      </c>
      <c r="AA19" s="17"/>
      <c r="AB19" s="11"/>
      <c r="AC19" s="11"/>
      <c r="AD19" s="11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23"/>
      <c r="AR19" s="146">
        <f t="shared" si="17"/>
        <v>533.22199999999998</v>
      </c>
      <c r="AS19" s="146">
        <f t="shared" si="18"/>
        <v>0</v>
      </c>
    </row>
    <row r="20" spans="1:45" s="22" customFormat="1" ht="79.2" x14ac:dyDescent="0.25">
      <c r="A20" s="10">
        <v>11</v>
      </c>
      <c r="B20" s="24" t="s">
        <v>90</v>
      </c>
      <c r="C20" s="10" t="s">
        <v>91</v>
      </c>
      <c r="D20" s="10" t="s">
        <v>92</v>
      </c>
      <c r="E20" s="25">
        <f t="shared" si="23"/>
        <v>2488.5450000000001</v>
      </c>
      <c r="F20" s="26"/>
      <c r="G20" s="26"/>
      <c r="H20" s="26"/>
      <c r="I20" s="27">
        <v>2488.5450000000001</v>
      </c>
      <c r="J20" s="11">
        <v>2314.904</v>
      </c>
      <c r="K20" s="11">
        <v>0</v>
      </c>
      <c r="L20" s="25">
        <f t="shared" si="22"/>
        <v>1585</v>
      </c>
      <c r="M20" s="27"/>
      <c r="N20" s="27"/>
      <c r="O20" s="28"/>
      <c r="P20" s="27">
        <f>650+500+U20</f>
        <v>1585</v>
      </c>
      <c r="Q20" s="11">
        <f t="shared" si="20"/>
        <v>435</v>
      </c>
      <c r="R20" s="11"/>
      <c r="S20" s="11"/>
      <c r="T20" s="11"/>
      <c r="U20" s="17">
        <v>435</v>
      </c>
      <c r="V20" s="125">
        <f t="shared" si="21"/>
        <v>729.904</v>
      </c>
      <c r="W20" s="124"/>
      <c r="X20" s="124"/>
      <c r="Y20" s="124"/>
      <c r="Z20" s="125">
        <v>729.904</v>
      </c>
      <c r="AA20" s="17"/>
      <c r="AB20" s="11"/>
      <c r="AC20" s="11"/>
      <c r="AD20" s="11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23"/>
      <c r="AR20" s="146">
        <f t="shared" si="17"/>
        <v>729.904</v>
      </c>
      <c r="AS20" s="146">
        <f t="shared" si="18"/>
        <v>0</v>
      </c>
    </row>
    <row r="21" spans="1:45" s="22" customFormat="1" ht="39.6" x14ac:dyDescent="0.25">
      <c r="A21" s="10">
        <v>12</v>
      </c>
      <c r="B21" s="24" t="s">
        <v>93</v>
      </c>
      <c r="C21" s="10" t="s">
        <v>94</v>
      </c>
      <c r="D21" s="10" t="s">
        <v>95</v>
      </c>
      <c r="E21" s="25">
        <f t="shared" si="23"/>
        <v>967.08964200000003</v>
      </c>
      <c r="F21" s="30"/>
      <c r="G21" s="30"/>
      <c r="H21" s="30"/>
      <c r="I21" s="31">
        <v>967.08964200000003</v>
      </c>
      <c r="J21" s="11">
        <v>550.87</v>
      </c>
      <c r="K21" s="11">
        <v>0</v>
      </c>
      <c r="L21" s="25">
        <f t="shared" si="22"/>
        <v>305.382161</v>
      </c>
      <c r="M21" s="31"/>
      <c r="N21" s="31"/>
      <c r="O21" s="32"/>
      <c r="P21" s="31">
        <v>305.382161</v>
      </c>
      <c r="Q21" s="11">
        <f t="shared" si="20"/>
        <v>0</v>
      </c>
      <c r="R21" s="11"/>
      <c r="S21" s="11"/>
      <c r="T21" s="11"/>
      <c r="U21" s="17">
        <v>0</v>
      </c>
      <c r="V21" s="125">
        <f t="shared" si="21"/>
        <v>245.48783900000001</v>
      </c>
      <c r="W21" s="124"/>
      <c r="X21" s="124"/>
      <c r="Y21" s="124"/>
      <c r="Z21" s="125">
        <v>245.48783900000001</v>
      </c>
      <c r="AA21" s="17"/>
      <c r="AB21" s="11"/>
      <c r="AC21" s="11"/>
      <c r="AD21" s="11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23"/>
      <c r="AR21" s="146">
        <f t="shared" si="17"/>
        <v>245.48783900000001</v>
      </c>
      <c r="AS21" s="146">
        <f t="shared" si="18"/>
        <v>0</v>
      </c>
    </row>
    <row r="22" spans="1:45" s="22" customFormat="1" ht="39.6" x14ac:dyDescent="0.25">
      <c r="A22" s="10">
        <v>13</v>
      </c>
      <c r="B22" s="24" t="s">
        <v>96</v>
      </c>
      <c r="C22" s="10" t="s">
        <v>97</v>
      </c>
      <c r="D22" s="10" t="s">
        <v>98</v>
      </c>
      <c r="E22" s="29">
        <f t="shared" si="23"/>
        <v>3518.0189999999998</v>
      </c>
      <c r="F22" s="30"/>
      <c r="G22" s="30"/>
      <c r="H22" s="30"/>
      <c r="I22" s="31">
        <v>3518.0189999999998</v>
      </c>
      <c r="J22" s="11">
        <v>3283.77</v>
      </c>
      <c r="K22" s="11">
        <v>0</v>
      </c>
      <c r="L22" s="29">
        <f t="shared" si="22"/>
        <v>10</v>
      </c>
      <c r="M22" s="31"/>
      <c r="N22" s="31"/>
      <c r="O22" s="32"/>
      <c r="P22" s="31">
        <f>0+U22</f>
        <v>10</v>
      </c>
      <c r="Q22" s="11">
        <f t="shared" si="20"/>
        <v>10</v>
      </c>
      <c r="R22" s="11"/>
      <c r="S22" s="11"/>
      <c r="T22" s="11"/>
      <c r="U22" s="17">
        <v>10</v>
      </c>
      <c r="V22" s="125">
        <f t="shared" si="21"/>
        <v>3273.77</v>
      </c>
      <c r="W22" s="124"/>
      <c r="X22" s="124"/>
      <c r="Y22" s="124"/>
      <c r="Z22" s="125">
        <v>3273.77</v>
      </c>
      <c r="AA22" s="17"/>
      <c r="AB22" s="11"/>
      <c r="AC22" s="11"/>
      <c r="AD22" s="11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23"/>
      <c r="AR22" s="146">
        <f t="shared" si="17"/>
        <v>3273.77</v>
      </c>
      <c r="AS22" s="146">
        <f t="shared" si="18"/>
        <v>0</v>
      </c>
    </row>
    <row r="23" spans="1:45" s="22" customFormat="1" ht="66" x14ac:dyDescent="0.25">
      <c r="A23" s="10">
        <v>14</v>
      </c>
      <c r="B23" s="24" t="s">
        <v>99</v>
      </c>
      <c r="C23" s="10" t="s">
        <v>100</v>
      </c>
      <c r="D23" s="10" t="s">
        <v>101</v>
      </c>
      <c r="E23" s="25">
        <f>SUM(F23:I23)</f>
        <v>7607.3369999999995</v>
      </c>
      <c r="F23" s="26"/>
      <c r="G23" s="26"/>
      <c r="H23" s="27">
        <v>6085.8689999999997</v>
      </c>
      <c r="I23" s="27">
        <v>1521.4680000000001</v>
      </c>
      <c r="J23" s="11">
        <v>7607.3370000000004</v>
      </c>
      <c r="K23" s="11">
        <v>0</v>
      </c>
      <c r="L23" s="25">
        <f>SUM(M23:P23)</f>
        <v>6625.7039999999997</v>
      </c>
      <c r="M23" s="27"/>
      <c r="N23" s="27"/>
      <c r="O23" s="28">
        <v>5550</v>
      </c>
      <c r="P23" s="27">
        <v>1075.704</v>
      </c>
      <c r="Q23" s="11">
        <f t="shared" si="20"/>
        <v>0</v>
      </c>
      <c r="R23" s="11"/>
      <c r="S23" s="11"/>
      <c r="T23" s="11"/>
      <c r="U23" s="17">
        <v>0</v>
      </c>
      <c r="V23" s="125">
        <f t="shared" si="21"/>
        <v>981.63300000000072</v>
      </c>
      <c r="W23" s="124"/>
      <c r="X23" s="124"/>
      <c r="Y23" s="124"/>
      <c r="Z23" s="125">
        <v>981.63300000000072</v>
      </c>
      <c r="AA23" s="17"/>
      <c r="AB23" s="11"/>
      <c r="AC23" s="11"/>
      <c r="AD23" s="11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23"/>
      <c r="AR23" s="146">
        <f t="shared" si="17"/>
        <v>981.63300000000072</v>
      </c>
      <c r="AS23" s="146">
        <f t="shared" si="18"/>
        <v>0</v>
      </c>
    </row>
    <row r="24" spans="1:45" s="121" customFormat="1" ht="31.5" customHeight="1" x14ac:dyDescent="0.3">
      <c r="A24" s="116" t="s">
        <v>102</v>
      </c>
      <c r="B24" s="117" t="s">
        <v>167</v>
      </c>
      <c r="C24" s="118"/>
      <c r="D24" s="118"/>
      <c r="E24" s="119">
        <f>SUM(E25:E45)</f>
        <v>30550</v>
      </c>
      <c r="F24" s="119">
        <f t="shared" ref="F24:U24" si="24">SUM(F25:F45)</f>
        <v>0</v>
      </c>
      <c r="G24" s="119">
        <f t="shared" si="24"/>
        <v>21805</v>
      </c>
      <c r="H24" s="119">
        <f t="shared" si="24"/>
        <v>3873</v>
      </c>
      <c r="I24" s="119">
        <f t="shared" si="24"/>
        <v>4872</v>
      </c>
      <c r="J24" s="119">
        <f t="shared" si="24"/>
        <v>29632</v>
      </c>
      <c r="K24" s="119">
        <f t="shared" si="24"/>
        <v>0</v>
      </c>
      <c r="L24" s="119">
        <f t="shared" si="24"/>
        <v>28862.072</v>
      </c>
      <c r="M24" s="119">
        <f t="shared" si="24"/>
        <v>0</v>
      </c>
      <c r="N24" s="119">
        <f t="shared" si="24"/>
        <v>21389.712</v>
      </c>
      <c r="O24" s="119">
        <f t="shared" si="24"/>
        <v>3866.1129999999998</v>
      </c>
      <c r="P24" s="119">
        <f t="shared" si="24"/>
        <v>3606.2469999999998</v>
      </c>
      <c r="Q24" s="119">
        <f t="shared" si="24"/>
        <v>3442.4469999999997</v>
      </c>
      <c r="R24" s="119">
        <f t="shared" si="24"/>
        <v>0</v>
      </c>
      <c r="S24" s="119">
        <f t="shared" si="24"/>
        <v>0</v>
      </c>
      <c r="T24" s="119">
        <f t="shared" si="24"/>
        <v>0</v>
      </c>
      <c r="U24" s="119">
        <f t="shared" si="24"/>
        <v>3442.4469999999997</v>
      </c>
      <c r="V24" s="152">
        <f t="shared" ref="V24" si="25">SUM(V25:V45)</f>
        <v>770.07399999999984</v>
      </c>
      <c r="W24" s="152">
        <f t="shared" ref="W24" si="26">SUM(W25:W45)</f>
        <v>0</v>
      </c>
      <c r="X24" s="152">
        <f t="shared" ref="X24" si="27">SUM(X25:X45)</f>
        <v>0</v>
      </c>
      <c r="Y24" s="152">
        <f t="shared" ref="Y24" si="28">SUM(Y25:Y45)</f>
        <v>0</v>
      </c>
      <c r="Z24" s="152">
        <f t="shared" ref="Z24" si="29">SUM(Z25:Z45)</f>
        <v>770.07399999999984</v>
      </c>
      <c r="AA24" s="119"/>
      <c r="AB24" s="119"/>
      <c r="AC24" s="119"/>
      <c r="AD24" s="119"/>
      <c r="AE24" s="119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20"/>
      <c r="AR24" s="146">
        <f t="shared" si="17"/>
        <v>769.92799999999988</v>
      </c>
      <c r="AS24" s="146">
        <f t="shared" si="18"/>
        <v>-0.14599999999995816</v>
      </c>
    </row>
    <row r="25" spans="1:45" s="22" customFormat="1" ht="39" customHeight="1" x14ac:dyDescent="0.25">
      <c r="A25" s="73">
        <v>1</v>
      </c>
      <c r="B25" s="74" t="s">
        <v>103</v>
      </c>
      <c r="C25" s="75" t="s">
        <v>104</v>
      </c>
      <c r="D25" s="75" t="s">
        <v>105</v>
      </c>
      <c r="E25" s="76">
        <f>F25+G25+H25+I25</f>
        <v>1884</v>
      </c>
      <c r="F25" s="76"/>
      <c r="G25" s="76">
        <v>1400</v>
      </c>
      <c r="H25" s="76">
        <v>400</v>
      </c>
      <c r="I25" s="76">
        <v>84</v>
      </c>
      <c r="J25" s="76">
        <v>1884</v>
      </c>
      <c r="K25" s="71"/>
      <c r="L25" s="71">
        <f>N25+O25+P25</f>
        <v>1829</v>
      </c>
      <c r="M25" s="71"/>
      <c r="N25" s="71">
        <v>1400</v>
      </c>
      <c r="O25" s="71">
        <v>400</v>
      </c>
      <c r="P25" s="71">
        <v>29</v>
      </c>
      <c r="Q25" s="71">
        <f>R25+S25+T25+U25</f>
        <v>0</v>
      </c>
      <c r="R25" s="71"/>
      <c r="S25" s="71"/>
      <c r="T25" s="71"/>
      <c r="U25" s="71"/>
      <c r="V25" s="126">
        <f>SUM(W25:Z25)</f>
        <v>55</v>
      </c>
      <c r="W25" s="126"/>
      <c r="X25" s="126"/>
      <c r="Y25" s="126"/>
      <c r="Z25" s="126">
        <v>55</v>
      </c>
      <c r="AA25" s="17"/>
      <c r="AB25" s="71"/>
      <c r="AC25" s="71"/>
      <c r="AD25" s="71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3" t="s">
        <v>173</v>
      </c>
      <c r="AR25" s="146">
        <f t="shared" si="17"/>
        <v>55</v>
      </c>
      <c r="AS25" s="146">
        <f t="shared" si="18"/>
        <v>0</v>
      </c>
    </row>
    <row r="26" spans="1:45" s="22" customFormat="1" ht="30" customHeight="1" x14ac:dyDescent="0.25">
      <c r="A26" s="73">
        <v>2</v>
      </c>
      <c r="B26" s="74" t="s">
        <v>106</v>
      </c>
      <c r="C26" s="77" t="s">
        <v>107</v>
      </c>
      <c r="D26" s="78" t="s">
        <v>108</v>
      </c>
      <c r="E26" s="76">
        <f t="shared" ref="E26:E45" si="30">F26+G26+H26+I26</f>
        <v>2508</v>
      </c>
      <c r="F26" s="76"/>
      <c r="G26" s="76">
        <v>1752</v>
      </c>
      <c r="H26" s="76">
        <v>504</v>
      </c>
      <c r="I26" s="76">
        <v>252</v>
      </c>
      <c r="J26" s="76">
        <v>2508</v>
      </c>
      <c r="K26" s="71"/>
      <c r="L26" s="71">
        <f t="shared" ref="L26:L45" si="31">N26+O26+P26</f>
        <v>2373.7000000000003</v>
      </c>
      <c r="M26" s="71"/>
      <c r="N26" s="71">
        <v>1734.9</v>
      </c>
      <c r="O26" s="71">
        <v>504</v>
      </c>
      <c r="P26" s="71">
        <v>134.80000000000001</v>
      </c>
      <c r="Q26" s="71">
        <f t="shared" ref="Q26:Q45" si="32">R26+S26+T26+U26</f>
        <v>0</v>
      </c>
      <c r="R26" s="71"/>
      <c r="S26" s="71"/>
      <c r="T26" s="71"/>
      <c r="U26" s="71"/>
      <c r="V26" s="126">
        <f t="shared" ref="V26:V45" si="33">SUM(W26:Z26)</f>
        <v>134.29999999999973</v>
      </c>
      <c r="W26" s="126"/>
      <c r="X26" s="126"/>
      <c r="Y26" s="126"/>
      <c r="Z26" s="126">
        <v>134.29999999999973</v>
      </c>
      <c r="AA26" s="71"/>
      <c r="AB26" s="71"/>
      <c r="AC26" s="71"/>
      <c r="AD26" s="71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4"/>
      <c r="AR26" s="146">
        <f t="shared" si="17"/>
        <v>134.29999999999973</v>
      </c>
      <c r="AS26" s="146">
        <f t="shared" si="18"/>
        <v>0</v>
      </c>
    </row>
    <row r="27" spans="1:45" s="22" customFormat="1" ht="40.5" customHeight="1" x14ac:dyDescent="0.25">
      <c r="A27" s="73">
        <v>3</v>
      </c>
      <c r="B27" s="79" t="s">
        <v>109</v>
      </c>
      <c r="C27" s="77" t="s">
        <v>110</v>
      </c>
      <c r="D27" s="78" t="s">
        <v>111</v>
      </c>
      <c r="E27" s="76">
        <f t="shared" si="30"/>
        <v>1932</v>
      </c>
      <c r="F27" s="76"/>
      <c r="G27" s="76">
        <v>1386</v>
      </c>
      <c r="H27" s="76">
        <v>396</v>
      </c>
      <c r="I27" s="76">
        <v>150</v>
      </c>
      <c r="J27" s="76">
        <v>1932</v>
      </c>
      <c r="K27" s="71"/>
      <c r="L27" s="71">
        <f t="shared" si="31"/>
        <v>1932.146</v>
      </c>
      <c r="M27" s="71"/>
      <c r="N27" s="71">
        <v>1386</v>
      </c>
      <c r="O27" s="71">
        <v>396</v>
      </c>
      <c r="P27" s="71">
        <f>U27</f>
        <v>150.14599999999999</v>
      </c>
      <c r="Q27" s="71">
        <f t="shared" si="32"/>
        <v>150.14599999999999</v>
      </c>
      <c r="R27" s="71"/>
      <c r="S27" s="71"/>
      <c r="T27" s="71"/>
      <c r="U27" s="71">
        <v>150.14599999999999</v>
      </c>
      <c r="V27" s="126">
        <f t="shared" si="33"/>
        <v>0</v>
      </c>
      <c r="W27" s="126"/>
      <c r="X27" s="126"/>
      <c r="Y27" s="126"/>
      <c r="Z27" s="126">
        <v>0</v>
      </c>
      <c r="AA27" s="71"/>
      <c r="AB27" s="71"/>
      <c r="AC27" s="71"/>
      <c r="AD27" s="71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4"/>
      <c r="AR27" s="146">
        <f t="shared" si="17"/>
        <v>-0.14599999999995816</v>
      </c>
      <c r="AS27" s="146">
        <f t="shared" si="18"/>
        <v>-0.14599999999995816</v>
      </c>
    </row>
    <row r="28" spans="1:45" s="22" customFormat="1" ht="38.25" customHeight="1" x14ac:dyDescent="0.25">
      <c r="A28" s="73">
        <v>4</v>
      </c>
      <c r="B28" s="79" t="s">
        <v>112</v>
      </c>
      <c r="C28" s="77" t="s">
        <v>113</v>
      </c>
      <c r="D28" s="78" t="s">
        <v>114</v>
      </c>
      <c r="E28" s="76">
        <f t="shared" si="30"/>
        <v>2700</v>
      </c>
      <c r="F28" s="76"/>
      <c r="G28" s="76">
        <v>1890</v>
      </c>
      <c r="H28" s="76">
        <v>540</v>
      </c>
      <c r="I28" s="76">
        <v>270</v>
      </c>
      <c r="J28" s="76">
        <v>2700</v>
      </c>
      <c r="K28" s="71"/>
      <c r="L28" s="71">
        <f t="shared" si="31"/>
        <v>2700</v>
      </c>
      <c r="M28" s="71"/>
      <c r="N28" s="71">
        <v>1890</v>
      </c>
      <c r="O28" s="71">
        <v>540</v>
      </c>
      <c r="P28" s="71">
        <f>U28</f>
        <v>270</v>
      </c>
      <c r="Q28" s="71">
        <f t="shared" si="32"/>
        <v>270</v>
      </c>
      <c r="R28" s="71"/>
      <c r="S28" s="71"/>
      <c r="T28" s="71"/>
      <c r="U28" s="71">
        <v>270</v>
      </c>
      <c r="V28" s="126">
        <f t="shared" si="33"/>
        <v>0</v>
      </c>
      <c r="W28" s="126"/>
      <c r="X28" s="126"/>
      <c r="Y28" s="126"/>
      <c r="Z28" s="126">
        <v>0</v>
      </c>
      <c r="AA28" s="71"/>
      <c r="AB28" s="71"/>
      <c r="AC28" s="71"/>
      <c r="AD28" s="71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4"/>
      <c r="AR28" s="146">
        <f t="shared" si="17"/>
        <v>0</v>
      </c>
      <c r="AS28" s="146">
        <f t="shared" si="18"/>
        <v>0</v>
      </c>
    </row>
    <row r="29" spans="1:45" s="22" customFormat="1" ht="57" customHeight="1" x14ac:dyDescent="0.25">
      <c r="A29" s="73">
        <v>5</v>
      </c>
      <c r="B29" s="79" t="s">
        <v>115</v>
      </c>
      <c r="C29" s="77" t="s">
        <v>116</v>
      </c>
      <c r="D29" s="78" t="s">
        <v>117</v>
      </c>
      <c r="E29" s="76">
        <f t="shared" si="30"/>
        <v>1864</v>
      </c>
      <c r="F29" s="76"/>
      <c r="G29" s="76">
        <v>1386</v>
      </c>
      <c r="H29" s="76">
        <v>198</v>
      </c>
      <c r="I29" s="76">
        <v>280</v>
      </c>
      <c r="J29" s="76">
        <v>1864</v>
      </c>
      <c r="K29" s="71"/>
      <c r="L29" s="71">
        <f t="shared" si="31"/>
        <v>1828.7280000000001</v>
      </c>
      <c r="M29" s="71"/>
      <c r="N29" s="71">
        <v>990</v>
      </c>
      <c r="O29" s="71">
        <v>198</v>
      </c>
      <c r="P29" s="71">
        <f t="shared" ref="P29:P30" si="34">U29</f>
        <v>640.72799999999995</v>
      </c>
      <c r="Q29" s="71">
        <f t="shared" si="32"/>
        <v>640.72799999999995</v>
      </c>
      <c r="R29" s="71"/>
      <c r="S29" s="71"/>
      <c r="T29" s="71"/>
      <c r="U29" s="71">
        <v>640.72799999999995</v>
      </c>
      <c r="V29" s="126">
        <f t="shared" si="33"/>
        <v>35.271999999999935</v>
      </c>
      <c r="W29" s="126"/>
      <c r="X29" s="126"/>
      <c r="Y29" s="126"/>
      <c r="Z29" s="126">
        <v>35.271999999999935</v>
      </c>
      <c r="AA29" s="71"/>
      <c r="AB29" s="71"/>
      <c r="AC29" s="71"/>
      <c r="AD29" s="71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4"/>
      <c r="AR29" s="146">
        <f t="shared" si="17"/>
        <v>35.271999999999935</v>
      </c>
      <c r="AS29" s="146">
        <f t="shared" si="18"/>
        <v>0</v>
      </c>
    </row>
    <row r="30" spans="1:45" s="22" customFormat="1" ht="26.25" customHeight="1" x14ac:dyDescent="0.25">
      <c r="A30" s="73">
        <v>6</v>
      </c>
      <c r="B30" s="79" t="s">
        <v>118</v>
      </c>
      <c r="C30" s="77" t="s">
        <v>119</v>
      </c>
      <c r="D30" s="78" t="s">
        <v>120</v>
      </c>
      <c r="E30" s="76">
        <f t="shared" si="30"/>
        <v>1300</v>
      </c>
      <c r="F30" s="76"/>
      <c r="G30" s="76">
        <v>650</v>
      </c>
      <c r="H30" s="76">
        <v>130</v>
      </c>
      <c r="I30" s="76">
        <v>520</v>
      </c>
      <c r="J30" s="76">
        <v>1126</v>
      </c>
      <c r="K30" s="71"/>
      <c r="L30" s="71">
        <f t="shared" si="31"/>
        <v>1104.8899999999999</v>
      </c>
      <c r="M30" s="71"/>
      <c r="N30" s="71">
        <v>650</v>
      </c>
      <c r="O30" s="71">
        <v>130</v>
      </c>
      <c r="P30" s="71">
        <f t="shared" si="34"/>
        <v>324.89</v>
      </c>
      <c r="Q30" s="71">
        <f t="shared" si="32"/>
        <v>324.89</v>
      </c>
      <c r="R30" s="71"/>
      <c r="S30" s="71"/>
      <c r="T30" s="71"/>
      <c r="U30" s="71">
        <v>324.89</v>
      </c>
      <c r="V30" s="126">
        <f t="shared" si="33"/>
        <v>21.110000000000127</v>
      </c>
      <c r="W30" s="126"/>
      <c r="X30" s="126"/>
      <c r="Y30" s="126"/>
      <c r="Z30" s="126">
        <v>21.110000000000127</v>
      </c>
      <c r="AA30" s="71"/>
      <c r="AB30" s="71"/>
      <c r="AC30" s="71"/>
      <c r="AD30" s="71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4"/>
      <c r="AR30" s="146">
        <f t="shared" si="17"/>
        <v>21.110000000000127</v>
      </c>
      <c r="AS30" s="146">
        <f t="shared" si="18"/>
        <v>0</v>
      </c>
    </row>
    <row r="31" spans="1:45" s="22" customFormat="1" ht="38.25" customHeight="1" x14ac:dyDescent="0.25">
      <c r="A31" s="73">
        <v>7</v>
      </c>
      <c r="B31" s="79" t="s">
        <v>121</v>
      </c>
      <c r="C31" s="77" t="s">
        <v>122</v>
      </c>
      <c r="D31" s="78" t="s">
        <v>123</v>
      </c>
      <c r="E31" s="76">
        <f t="shared" si="30"/>
        <v>1100</v>
      </c>
      <c r="F31" s="76"/>
      <c r="G31" s="76">
        <v>550</v>
      </c>
      <c r="H31" s="76">
        <v>110</v>
      </c>
      <c r="I31" s="76">
        <v>440</v>
      </c>
      <c r="J31" s="76">
        <v>1021</v>
      </c>
      <c r="K31" s="71"/>
      <c r="L31" s="71">
        <f t="shared" si="31"/>
        <v>1002.413</v>
      </c>
      <c r="M31" s="71"/>
      <c r="N31" s="71">
        <v>550</v>
      </c>
      <c r="O31" s="71">
        <v>110</v>
      </c>
      <c r="P31" s="71">
        <f>U31</f>
        <v>342.41300000000001</v>
      </c>
      <c r="Q31" s="71">
        <f t="shared" si="32"/>
        <v>342.41300000000001</v>
      </c>
      <c r="R31" s="71"/>
      <c r="S31" s="71"/>
      <c r="T31" s="71"/>
      <c r="U31" s="71">
        <v>342.41300000000001</v>
      </c>
      <c r="V31" s="126">
        <f t="shared" si="33"/>
        <v>18.586999999999989</v>
      </c>
      <c r="W31" s="126"/>
      <c r="X31" s="126"/>
      <c r="Y31" s="126"/>
      <c r="Z31" s="126">
        <v>18.586999999999989</v>
      </c>
      <c r="AA31" s="71"/>
      <c r="AB31" s="71"/>
      <c r="AC31" s="71"/>
      <c r="AD31" s="71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4"/>
      <c r="AR31" s="146">
        <f t="shared" si="17"/>
        <v>18.586999999999989</v>
      </c>
      <c r="AS31" s="146">
        <f t="shared" si="18"/>
        <v>0</v>
      </c>
    </row>
    <row r="32" spans="1:45" s="22" customFormat="1" ht="39" customHeight="1" x14ac:dyDescent="0.25">
      <c r="A32" s="73">
        <v>8</v>
      </c>
      <c r="B32" s="79" t="s">
        <v>124</v>
      </c>
      <c r="C32" s="77" t="s">
        <v>125</v>
      </c>
      <c r="D32" s="78" t="s">
        <v>126</v>
      </c>
      <c r="E32" s="76">
        <f t="shared" si="30"/>
        <v>786</v>
      </c>
      <c r="F32" s="76"/>
      <c r="G32" s="76">
        <v>393</v>
      </c>
      <c r="H32" s="76">
        <v>79</v>
      </c>
      <c r="I32" s="76">
        <v>314</v>
      </c>
      <c r="J32" s="76">
        <v>759</v>
      </c>
      <c r="K32" s="71"/>
      <c r="L32" s="71">
        <f t="shared" si="31"/>
        <v>745.22399999999993</v>
      </c>
      <c r="M32" s="71"/>
      <c r="N32" s="71">
        <v>393</v>
      </c>
      <c r="O32" s="71">
        <v>74.113</v>
      </c>
      <c r="P32" s="71">
        <f>U32</f>
        <v>278.11099999999999</v>
      </c>
      <c r="Q32" s="71">
        <f t="shared" si="32"/>
        <v>278.11099999999999</v>
      </c>
      <c r="R32" s="71"/>
      <c r="S32" s="71"/>
      <c r="T32" s="71"/>
      <c r="U32" s="71">
        <v>278.11099999999999</v>
      </c>
      <c r="V32" s="126">
        <f t="shared" si="33"/>
        <v>13.776000000000067</v>
      </c>
      <c r="W32" s="126"/>
      <c r="X32" s="126"/>
      <c r="Y32" s="126"/>
      <c r="Z32" s="126">
        <v>13.776000000000067</v>
      </c>
      <c r="AA32" s="71"/>
      <c r="AB32" s="71"/>
      <c r="AC32" s="71"/>
      <c r="AD32" s="71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4"/>
      <c r="AR32" s="146">
        <f t="shared" si="17"/>
        <v>13.776000000000067</v>
      </c>
      <c r="AS32" s="146">
        <f t="shared" si="18"/>
        <v>0</v>
      </c>
    </row>
    <row r="33" spans="1:47" s="22" customFormat="1" ht="43.5" customHeight="1" x14ac:dyDescent="0.25">
      <c r="A33" s="73">
        <v>9</v>
      </c>
      <c r="B33" s="79" t="s">
        <v>127</v>
      </c>
      <c r="C33" s="77" t="s">
        <v>128</v>
      </c>
      <c r="D33" s="78" t="s">
        <v>129</v>
      </c>
      <c r="E33" s="76">
        <f t="shared" si="30"/>
        <v>1288</v>
      </c>
      <c r="F33" s="76"/>
      <c r="G33" s="76">
        <v>644</v>
      </c>
      <c r="H33" s="76">
        <v>129</v>
      </c>
      <c r="I33" s="76">
        <v>515</v>
      </c>
      <c r="J33" s="76">
        <v>1257</v>
      </c>
      <c r="K33" s="71"/>
      <c r="L33" s="71">
        <f t="shared" si="31"/>
        <v>1223.009</v>
      </c>
      <c r="M33" s="71"/>
      <c r="N33" s="71">
        <v>644</v>
      </c>
      <c r="O33" s="71">
        <v>128</v>
      </c>
      <c r="P33" s="71">
        <f>U33</f>
        <v>451.00900000000001</v>
      </c>
      <c r="Q33" s="71">
        <f t="shared" si="32"/>
        <v>451.00900000000001</v>
      </c>
      <c r="R33" s="71"/>
      <c r="S33" s="71"/>
      <c r="T33" s="71"/>
      <c r="U33" s="71">
        <v>451.00900000000001</v>
      </c>
      <c r="V33" s="126">
        <f t="shared" si="33"/>
        <v>33.990999999999985</v>
      </c>
      <c r="W33" s="126"/>
      <c r="X33" s="126"/>
      <c r="Y33" s="126"/>
      <c r="Z33" s="126">
        <v>33.990999999999985</v>
      </c>
      <c r="AA33" s="71"/>
      <c r="AB33" s="71"/>
      <c r="AC33" s="71"/>
      <c r="AD33" s="71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4"/>
      <c r="AR33" s="146">
        <f t="shared" si="17"/>
        <v>33.990999999999985</v>
      </c>
      <c r="AS33" s="146">
        <f t="shared" si="18"/>
        <v>0</v>
      </c>
    </row>
    <row r="34" spans="1:47" s="22" customFormat="1" ht="41.25" customHeight="1" x14ac:dyDescent="0.25">
      <c r="A34" s="73">
        <v>10</v>
      </c>
      <c r="B34" s="79" t="s">
        <v>130</v>
      </c>
      <c r="C34" s="80" t="s">
        <v>131</v>
      </c>
      <c r="D34" s="78" t="s">
        <v>132</v>
      </c>
      <c r="E34" s="76">
        <f t="shared" si="30"/>
        <v>618</v>
      </c>
      <c r="F34" s="76"/>
      <c r="G34" s="76">
        <v>494</v>
      </c>
      <c r="H34" s="76">
        <v>62</v>
      </c>
      <c r="I34" s="76">
        <v>62</v>
      </c>
      <c r="J34" s="76">
        <v>603</v>
      </c>
      <c r="K34" s="71"/>
      <c r="L34" s="71">
        <f t="shared" si="31"/>
        <v>556</v>
      </c>
      <c r="M34" s="71"/>
      <c r="N34" s="71">
        <v>494</v>
      </c>
      <c r="O34" s="71">
        <v>62</v>
      </c>
      <c r="P34" s="71">
        <v>0</v>
      </c>
      <c r="Q34" s="71">
        <f t="shared" si="32"/>
        <v>0</v>
      </c>
      <c r="R34" s="71"/>
      <c r="S34" s="71"/>
      <c r="T34" s="71"/>
      <c r="U34" s="71"/>
      <c r="V34" s="126">
        <f t="shared" si="33"/>
        <v>47</v>
      </c>
      <c r="W34" s="126"/>
      <c r="X34" s="126"/>
      <c r="Y34" s="126"/>
      <c r="Z34" s="126">
        <v>47</v>
      </c>
      <c r="AA34" s="71"/>
      <c r="AB34" s="71"/>
      <c r="AC34" s="71"/>
      <c r="AD34" s="71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4"/>
      <c r="AR34" s="146">
        <f t="shared" si="17"/>
        <v>47</v>
      </c>
      <c r="AS34" s="146">
        <f t="shared" si="18"/>
        <v>0</v>
      </c>
    </row>
    <row r="35" spans="1:47" s="22" customFormat="1" ht="42.75" customHeight="1" x14ac:dyDescent="0.25">
      <c r="A35" s="73">
        <v>11</v>
      </c>
      <c r="B35" s="79" t="s">
        <v>133</v>
      </c>
      <c r="C35" s="77" t="s">
        <v>134</v>
      </c>
      <c r="D35" s="78" t="s">
        <v>135</v>
      </c>
      <c r="E35" s="76">
        <f t="shared" si="30"/>
        <v>780</v>
      </c>
      <c r="F35" s="76"/>
      <c r="G35" s="76">
        <v>624</v>
      </c>
      <c r="H35" s="76">
        <v>78</v>
      </c>
      <c r="I35" s="76">
        <v>78</v>
      </c>
      <c r="J35" s="76">
        <v>714</v>
      </c>
      <c r="K35" s="71"/>
      <c r="L35" s="71">
        <f t="shared" si="31"/>
        <v>699.81200000000001</v>
      </c>
      <c r="M35" s="71"/>
      <c r="N35" s="71">
        <v>621.81200000000001</v>
      </c>
      <c r="O35" s="71">
        <v>78</v>
      </c>
      <c r="P35" s="71">
        <v>0</v>
      </c>
      <c r="Q35" s="71">
        <f t="shared" si="32"/>
        <v>0</v>
      </c>
      <c r="R35" s="71"/>
      <c r="S35" s="71"/>
      <c r="T35" s="71"/>
      <c r="U35" s="71"/>
      <c r="V35" s="126">
        <f t="shared" si="33"/>
        <v>14.187999999999988</v>
      </c>
      <c r="W35" s="126"/>
      <c r="X35" s="126"/>
      <c r="Y35" s="126"/>
      <c r="Z35" s="126">
        <v>14.187999999999988</v>
      </c>
      <c r="AA35" s="71"/>
      <c r="AB35" s="71"/>
      <c r="AC35" s="71"/>
      <c r="AD35" s="71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4"/>
      <c r="AR35" s="146">
        <f t="shared" si="17"/>
        <v>14.187999999999988</v>
      </c>
      <c r="AS35" s="146">
        <f t="shared" si="18"/>
        <v>0</v>
      </c>
    </row>
    <row r="36" spans="1:47" s="22" customFormat="1" ht="37.5" customHeight="1" x14ac:dyDescent="0.25">
      <c r="A36" s="73">
        <v>12</v>
      </c>
      <c r="B36" s="79" t="s">
        <v>136</v>
      </c>
      <c r="C36" s="77" t="s">
        <v>137</v>
      </c>
      <c r="D36" s="78" t="s">
        <v>138</v>
      </c>
      <c r="E36" s="76">
        <f t="shared" si="30"/>
        <v>2000</v>
      </c>
      <c r="F36" s="76"/>
      <c r="G36" s="76">
        <v>1600</v>
      </c>
      <c r="H36" s="76">
        <v>200</v>
      </c>
      <c r="I36" s="76">
        <v>200</v>
      </c>
      <c r="J36" s="81">
        <v>1960</v>
      </c>
      <c r="K36" s="71"/>
      <c r="L36" s="82">
        <f t="shared" si="31"/>
        <v>1960</v>
      </c>
      <c r="M36" s="71"/>
      <c r="N36" s="71">
        <v>1600</v>
      </c>
      <c r="O36" s="71">
        <v>200</v>
      </c>
      <c r="P36" s="71">
        <f>U36</f>
        <v>160</v>
      </c>
      <c r="Q36" s="82">
        <f t="shared" si="32"/>
        <v>160</v>
      </c>
      <c r="R36" s="71"/>
      <c r="S36" s="71"/>
      <c r="T36" s="71"/>
      <c r="U36" s="71">
        <v>160</v>
      </c>
      <c r="V36" s="126">
        <f t="shared" si="33"/>
        <v>0</v>
      </c>
      <c r="W36" s="126"/>
      <c r="X36" s="126"/>
      <c r="Y36" s="126"/>
      <c r="Z36" s="126">
        <v>0</v>
      </c>
      <c r="AA36" s="71"/>
      <c r="AB36" s="71"/>
      <c r="AC36" s="71"/>
      <c r="AD36" s="71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4"/>
      <c r="AR36" s="146">
        <f t="shared" si="17"/>
        <v>0</v>
      </c>
      <c r="AS36" s="146">
        <f t="shared" si="18"/>
        <v>0</v>
      </c>
    </row>
    <row r="37" spans="1:47" s="22" customFormat="1" ht="39.75" customHeight="1" x14ac:dyDescent="0.25">
      <c r="A37" s="73">
        <v>13</v>
      </c>
      <c r="B37" s="79" t="s">
        <v>139</v>
      </c>
      <c r="C37" s="77" t="s">
        <v>140</v>
      </c>
      <c r="D37" s="78" t="s">
        <v>141</v>
      </c>
      <c r="E37" s="76">
        <f t="shared" si="30"/>
        <v>1430</v>
      </c>
      <c r="F37" s="76"/>
      <c r="G37" s="76">
        <v>1144</v>
      </c>
      <c r="H37" s="76">
        <v>143</v>
      </c>
      <c r="I37" s="76">
        <v>143</v>
      </c>
      <c r="J37" s="76">
        <v>1356</v>
      </c>
      <c r="K37" s="71"/>
      <c r="L37" s="71">
        <f t="shared" si="31"/>
        <v>1287</v>
      </c>
      <c r="M37" s="71"/>
      <c r="N37" s="71">
        <v>1144</v>
      </c>
      <c r="O37" s="71">
        <v>143</v>
      </c>
      <c r="P37" s="71">
        <v>0</v>
      </c>
      <c r="Q37" s="71">
        <f t="shared" si="32"/>
        <v>0</v>
      </c>
      <c r="R37" s="71"/>
      <c r="S37" s="71"/>
      <c r="T37" s="71"/>
      <c r="U37" s="71"/>
      <c r="V37" s="126">
        <f t="shared" si="33"/>
        <v>69</v>
      </c>
      <c r="W37" s="126"/>
      <c r="X37" s="126"/>
      <c r="Y37" s="126"/>
      <c r="Z37" s="126">
        <v>69</v>
      </c>
      <c r="AA37" s="71"/>
      <c r="AB37" s="71"/>
      <c r="AC37" s="71"/>
      <c r="AD37" s="71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4"/>
      <c r="AR37" s="146">
        <f t="shared" si="17"/>
        <v>69</v>
      </c>
      <c r="AS37" s="146">
        <f t="shared" si="18"/>
        <v>0</v>
      </c>
    </row>
    <row r="38" spans="1:47" s="22" customFormat="1" ht="35.25" customHeight="1" x14ac:dyDescent="0.25">
      <c r="A38" s="73">
        <v>14</v>
      </c>
      <c r="B38" s="79" t="s">
        <v>142</v>
      </c>
      <c r="C38" s="77" t="s">
        <v>143</v>
      </c>
      <c r="D38" s="78" t="s">
        <v>144</v>
      </c>
      <c r="E38" s="76">
        <f t="shared" si="30"/>
        <v>960</v>
      </c>
      <c r="F38" s="76"/>
      <c r="G38" s="76">
        <v>768</v>
      </c>
      <c r="H38" s="76">
        <v>96</v>
      </c>
      <c r="I38" s="76">
        <v>96</v>
      </c>
      <c r="J38" s="76">
        <v>955</v>
      </c>
      <c r="K38" s="71"/>
      <c r="L38" s="71">
        <f t="shared" si="31"/>
        <v>945.87900000000002</v>
      </c>
      <c r="M38" s="71"/>
      <c r="N38" s="71">
        <v>768</v>
      </c>
      <c r="O38" s="71">
        <v>96</v>
      </c>
      <c r="P38" s="71">
        <f>U38</f>
        <v>81.879000000000005</v>
      </c>
      <c r="Q38" s="71">
        <f t="shared" si="32"/>
        <v>81.879000000000005</v>
      </c>
      <c r="R38" s="71"/>
      <c r="S38" s="71"/>
      <c r="T38" s="71"/>
      <c r="U38" s="71">
        <v>81.879000000000005</v>
      </c>
      <c r="V38" s="126">
        <f t="shared" si="33"/>
        <v>9.1209999999999809</v>
      </c>
      <c r="W38" s="126"/>
      <c r="X38" s="126"/>
      <c r="Y38" s="126"/>
      <c r="Z38" s="126">
        <v>9.1209999999999809</v>
      </c>
      <c r="AA38" s="71"/>
      <c r="AB38" s="71"/>
      <c r="AC38" s="71"/>
      <c r="AD38" s="71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4"/>
      <c r="AR38" s="146">
        <f t="shared" si="17"/>
        <v>9.1209999999999809</v>
      </c>
      <c r="AS38" s="146">
        <f t="shared" si="18"/>
        <v>0</v>
      </c>
    </row>
    <row r="39" spans="1:47" s="22" customFormat="1" ht="43.5" customHeight="1" x14ac:dyDescent="0.25">
      <c r="A39" s="73">
        <v>15</v>
      </c>
      <c r="B39" s="79" t="s">
        <v>145</v>
      </c>
      <c r="C39" s="77" t="s">
        <v>146</v>
      </c>
      <c r="D39" s="78" t="s">
        <v>147</v>
      </c>
      <c r="E39" s="76">
        <f t="shared" si="30"/>
        <v>2950</v>
      </c>
      <c r="F39" s="76"/>
      <c r="G39" s="76">
        <v>2360</v>
      </c>
      <c r="H39" s="76">
        <v>295</v>
      </c>
      <c r="I39" s="76">
        <v>295</v>
      </c>
      <c r="J39" s="76">
        <v>2736</v>
      </c>
      <c r="K39" s="71"/>
      <c r="L39" s="71">
        <f t="shared" si="31"/>
        <v>2655</v>
      </c>
      <c r="M39" s="71"/>
      <c r="N39" s="71">
        <v>2360</v>
      </c>
      <c r="O39" s="71">
        <v>295</v>
      </c>
      <c r="P39" s="71">
        <v>0</v>
      </c>
      <c r="Q39" s="71">
        <f t="shared" si="32"/>
        <v>0</v>
      </c>
      <c r="R39" s="71"/>
      <c r="S39" s="71"/>
      <c r="T39" s="71"/>
      <c r="U39" s="71"/>
      <c r="V39" s="126">
        <f t="shared" si="33"/>
        <v>81</v>
      </c>
      <c r="W39" s="126"/>
      <c r="X39" s="126"/>
      <c r="Y39" s="126"/>
      <c r="Z39" s="126">
        <v>81</v>
      </c>
      <c r="AA39" s="71"/>
      <c r="AB39" s="71"/>
      <c r="AC39" s="71"/>
      <c r="AD39" s="71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4"/>
      <c r="AR39" s="146">
        <f t="shared" si="17"/>
        <v>81</v>
      </c>
      <c r="AS39" s="146">
        <f t="shared" si="18"/>
        <v>0</v>
      </c>
    </row>
    <row r="40" spans="1:47" s="22" customFormat="1" ht="78.75" customHeight="1" x14ac:dyDescent="0.25">
      <c r="A40" s="73">
        <v>16</v>
      </c>
      <c r="B40" s="79" t="s">
        <v>148</v>
      </c>
      <c r="C40" s="77" t="s">
        <v>149</v>
      </c>
      <c r="D40" s="78" t="s">
        <v>150</v>
      </c>
      <c r="E40" s="76">
        <f t="shared" si="30"/>
        <v>1320</v>
      </c>
      <c r="F40" s="76"/>
      <c r="G40" s="76">
        <v>1056</v>
      </c>
      <c r="H40" s="76">
        <v>132</v>
      </c>
      <c r="I40" s="76">
        <v>132</v>
      </c>
      <c r="J40" s="76">
        <v>1283</v>
      </c>
      <c r="K40" s="71"/>
      <c r="L40" s="71">
        <f t="shared" si="31"/>
        <v>1188</v>
      </c>
      <c r="M40" s="71"/>
      <c r="N40" s="71">
        <v>1056</v>
      </c>
      <c r="O40" s="71">
        <v>132</v>
      </c>
      <c r="P40" s="71">
        <v>0</v>
      </c>
      <c r="Q40" s="71">
        <f t="shared" si="32"/>
        <v>0</v>
      </c>
      <c r="R40" s="71"/>
      <c r="S40" s="71"/>
      <c r="T40" s="71"/>
      <c r="U40" s="71"/>
      <c r="V40" s="126">
        <f t="shared" si="33"/>
        <v>95</v>
      </c>
      <c r="W40" s="126"/>
      <c r="X40" s="126"/>
      <c r="Y40" s="126"/>
      <c r="Z40" s="126">
        <v>95</v>
      </c>
      <c r="AA40" s="71"/>
      <c r="AB40" s="71"/>
      <c r="AC40" s="71"/>
      <c r="AD40" s="71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4"/>
      <c r="AR40" s="146">
        <f t="shared" ref="AR40:AR71" si="35">J40-L40</f>
        <v>95</v>
      </c>
      <c r="AS40" s="146">
        <f t="shared" ref="AS40:AS71" si="36">AR40-Z40</f>
        <v>0</v>
      </c>
    </row>
    <row r="41" spans="1:47" s="22" customFormat="1" ht="42.75" customHeight="1" x14ac:dyDescent="0.25">
      <c r="A41" s="73">
        <v>17</v>
      </c>
      <c r="B41" s="79" t="s">
        <v>151</v>
      </c>
      <c r="C41" s="77" t="s">
        <v>152</v>
      </c>
      <c r="D41" s="78" t="s">
        <v>153</v>
      </c>
      <c r="E41" s="76">
        <f t="shared" si="30"/>
        <v>910</v>
      </c>
      <c r="F41" s="76"/>
      <c r="G41" s="76">
        <v>728</v>
      </c>
      <c r="H41" s="76">
        <v>91</v>
      </c>
      <c r="I41" s="76">
        <v>91</v>
      </c>
      <c r="J41" s="76">
        <v>906</v>
      </c>
      <c r="K41" s="71"/>
      <c r="L41" s="71">
        <f t="shared" si="31"/>
        <v>897.21100000000001</v>
      </c>
      <c r="M41" s="71"/>
      <c r="N41" s="71">
        <v>728</v>
      </c>
      <c r="O41" s="71">
        <v>90</v>
      </c>
      <c r="P41" s="71">
        <f>U41</f>
        <v>79.210999999999999</v>
      </c>
      <c r="Q41" s="71">
        <f t="shared" si="32"/>
        <v>79.210999999999999</v>
      </c>
      <c r="R41" s="71"/>
      <c r="S41" s="71"/>
      <c r="T41" s="71"/>
      <c r="U41" s="71">
        <v>79.210999999999999</v>
      </c>
      <c r="V41" s="126">
        <f t="shared" si="33"/>
        <v>8.7889999999999873</v>
      </c>
      <c r="W41" s="126"/>
      <c r="X41" s="126"/>
      <c r="Y41" s="126"/>
      <c r="Z41" s="126">
        <v>8.7889999999999873</v>
      </c>
      <c r="AA41" s="71"/>
      <c r="AB41" s="71"/>
      <c r="AC41" s="71"/>
      <c r="AD41" s="71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4"/>
      <c r="AR41" s="146">
        <f t="shared" si="35"/>
        <v>8.7889999999999873</v>
      </c>
      <c r="AS41" s="146">
        <f t="shared" si="36"/>
        <v>0</v>
      </c>
    </row>
    <row r="42" spans="1:47" s="22" customFormat="1" ht="54" customHeight="1" x14ac:dyDescent="0.25">
      <c r="A42" s="73">
        <v>18</v>
      </c>
      <c r="B42" s="79" t="s">
        <v>154</v>
      </c>
      <c r="C42" s="77" t="s">
        <v>155</v>
      </c>
      <c r="D42" s="78" t="s">
        <v>156</v>
      </c>
      <c r="E42" s="76">
        <f t="shared" si="30"/>
        <v>600</v>
      </c>
      <c r="F42" s="76"/>
      <c r="G42" s="76">
        <v>480</v>
      </c>
      <c r="H42" s="76">
        <v>60</v>
      </c>
      <c r="I42" s="76">
        <v>60</v>
      </c>
      <c r="J42" s="76">
        <v>596</v>
      </c>
      <c r="K42" s="71"/>
      <c r="L42" s="71">
        <f t="shared" si="31"/>
        <v>540</v>
      </c>
      <c r="M42" s="71"/>
      <c r="N42" s="71">
        <v>480</v>
      </c>
      <c r="O42" s="71">
        <v>60</v>
      </c>
      <c r="P42" s="71">
        <v>0</v>
      </c>
      <c r="Q42" s="71">
        <f t="shared" si="32"/>
        <v>0</v>
      </c>
      <c r="R42" s="71"/>
      <c r="S42" s="71"/>
      <c r="T42" s="71"/>
      <c r="U42" s="71"/>
      <c r="V42" s="126">
        <f t="shared" si="33"/>
        <v>56</v>
      </c>
      <c r="W42" s="126"/>
      <c r="X42" s="126"/>
      <c r="Y42" s="126"/>
      <c r="Z42" s="126">
        <v>56</v>
      </c>
      <c r="AA42" s="71"/>
      <c r="AB42" s="71"/>
      <c r="AC42" s="71"/>
      <c r="AD42" s="71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4"/>
      <c r="AR42" s="146">
        <f t="shared" si="35"/>
        <v>56</v>
      </c>
      <c r="AS42" s="146">
        <f t="shared" si="36"/>
        <v>0</v>
      </c>
    </row>
    <row r="43" spans="1:47" s="22" customFormat="1" ht="39" customHeight="1" x14ac:dyDescent="0.25">
      <c r="A43" s="73">
        <v>19</v>
      </c>
      <c r="B43" s="79" t="s">
        <v>157</v>
      </c>
      <c r="C43" s="77" t="s">
        <v>158</v>
      </c>
      <c r="D43" s="78" t="s">
        <v>159</v>
      </c>
      <c r="E43" s="76">
        <f t="shared" si="30"/>
        <v>1320</v>
      </c>
      <c r="F43" s="76"/>
      <c r="G43" s="76">
        <v>660</v>
      </c>
      <c r="H43" s="76"/>
      <c r="I43" s="76">
        <v>660</v>
      </c>
      <c r="J43" s="76">
        <v>1269</v>
      </c>
      <c r="K43" s="71"/>
      <c r="L43" s="71">
        <f t="shared" si="31"/>
        <v>1256.423</v>
      </c>
      <c r="M43" s="71"/>
      <c r="N43" s="71">
        <v>660</v>
      </c>
      <c r="O43" s="71">
        <v>0</v>
      </c>
      <c r="P43" s="71">
        <f>U43</f>
        <v>596.423</v>
      </c>
      <c r="Q43" s="71">
        <f t="shared" si="32"/>
        <v>596.423</v>
      </c>
      <c r="R43" s="71"/>
      <c r="S43" s="71"/>
      <c r="T43" s="71"/>
      <c r="U43" s="71">
        <v>596.423</v>
      </c>
      <c r="V43" s="126">
        <f t="shared" si="33"/>
        <v>12.576999999999998</v>
      </c>
      <c r="W43" s="126"/>
      <c r="X43" s="126"/>
      <c r="Y43" s="126"/>
      <c r="Z43" s="126">
        <v>12.576999999999998</v>
      </c>
      <c r="AA43" s="71"/>
      <c r="AB43" s="71"/>
      <c r="AC43" s="71"/>
      <c r="AD43" s="71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4"/>
      <c r="AR43" s="146">
        <f t="shared" si="35"/>
        <v>12.576999999999998</v>
      </c>
      <c r="AS43" s="146">
        <f t="shared" si="36"/>
        <v>0</v>
      </c>
    </row>
    <row r="44" spans="1:47" s="22" customFormat="1" ht="39.75" customHeight="1" x14ac:dyDescent="0.25">
      <c r="A44" s="73">
        <v>20</v>
      </c>
      <c r="B44" s="79" t="s">
        <v>160</v>
      </c>
      <c r="C44" s="77" t="s">
        <v>161</v>
      </c>
      <c r="D44" s="78" t="s">
        <v>162</v>
      </c>
      <c r="E44" s="76">
        <f t="shared" si="30"/>
        <v>1150</v>
      </c>
      <c r="F44" s="76"/>
      <c r="G44" s="76">
        <v>920</v>
      </c>
      <c r="H44" s="76">
        <v>115</v>
      </c>
      <c r="I44" s="76">
        <v>115</v>
      </c>
      <c r="J44" s="76">
        <v>1101</v>
      </c>
      <c r="K44" s="71"/>
      <c r="L44" s="71">
        <f t="shared" si="31"/>
        <v>1068.664</v>
      </c>
      <c r="M44" s="71"/>
      <c r="N44" s="71">
        <v>920</v>
      </c>
      <c r="O44" s="71">
        <v>115</v>
      </c>
      <c r="P44" s="71">
        <f>U44</f>
        <v>33.664000000000001</v>
      </c>
      <c r="Q44" s="71">
        <f t="shared" si="32"/>
        <v>33.664000000000001</v>
      </c>
      <c r="R44" s="71"/>
      <c r="S44" s="71"/>
      <c r="T44" s="71"/>
      <c r="U44" s="71">
        <v>33.664000000000001</v>
      </c>
      <c r="V44" s="126">
        <f t="shared" si="33"/>
        <v>32.336000000000013</v>
      </c>
      <c r="W44" s="126"/>
      <c r="X44" s="126"/>
      <c r="Y44" s="126"/>
      <c r="Z44" s="126">
        <v>32.336000000000013</v>
      </c>
      <c r="AA44" s="71"/>
      <c r="AB44" s="71"/>
      <c r="AC44" s="71"/>
      <c r="AD44" s="71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4"/>
      <c r="AR44" s="146">
        <f t="shared" si="35"/>
        <v>32.336000000000013</v>
      </c>
      <c r="AS44" s="146">
        <f t="shared" si="36"/>
        <v>0</v>
      </c>
    </row>
    <row r="45" spans="1:47" s="22" customFormat="1" ht="40.5" customHeight="1" x14ac:dyDescent="0.25">
      <c r="A45" s="73">
        <v>21</v>
      </c>
      <c r="B45" s="79" t="s">
        <v>163</v>
      </c>
      <c r="C45" s="77" t="s">
        <v>164</v>
      </c>
      <c r="D45" s="78" t="s">
        <v>165</v>
      </c>
      <c r="E45" s="83">
        <f t="shared" si="30"/>
        <v>1150</v>
      </c>
      <c r="F45" s="83"/>
      <c r="G45" s="83">
        <v>920</v>
      </c>
      <c r="H45" s="83">
        <v>115</v>
      </c>
      <c r="I45" s="83">
        <v>115</v>
      </c>
      <c r="J45" s="83">
        <v>1102</v>
      </c>
      <c r="K45" s="71"/>
      <c r="L45" s="71">
        <f t="shared" si="31"/>
        <v>1068.973</v>
      </c>
      <c r="M45" s="71"/>
      <c r="N45" s="71">
        <v>920</v>
      </c>
      <c r="O45" s="71">
        <v>115</v>
      </c>
      <c r="P45" s="71">
        <f>U45</f>
        <v>33.972999999999999</v>
      </c>
      <c r="Q45" s="71">
        <f t="shared" si="32"/>
        <v>33.972999999999999</v>
      </c>
      <c r="R45" s="71"/>
      <c r="S45" s="71"/>
      <c r="T45" s="71"/>
      <c r="U45" s="71">
        <v>33.972999999999999</v>
      </c>
      <c r="V45" s="126">
        <f t="shared" si="33"/>
        <v>33.027000000000044</v>
      </c>
      <c r="W45" s="126"/>
      <c r="X45" s="126"/>
      <c r="Y45" s="126"/>
      <c r="Z45" s="126">
        <v>33.027000000000044</v>
      </c>
      <c r="AA45" s="71"/>
      <c r="AB45" s="71"/>
      <c r="AC45" s="71"/>
      <c r="AD45" s="71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5"/>
      <c r="AR45" s="146">
        <f t="shared" si="35"/>
        <v>33.027000000000044</v>
      </c>
      <c r="AS45" s="146">
        <f t="shared" si="36"/>
        <v>0</v>
      </c>
    </row>
    <row r="46" spans="1:47" s="37" customFormat="1" ht="56.4" customHeight="1" x14ac:dyDescent="0.25">
      <c r="A46" s="33" t="s">
        <v>166</v>
      </c>
      <c r="B46" s="34" t="s">
        <v>59</v>
      </c>
      <c r="C46" s="35"/>
      <c r="D46" s="35"/>
      <c r="E46" s="36">
        <f>SUM(E47:E67)</f>
        <v>27445</v>
      </c>
      <c r="F46" s="36">
        <f t="shared" ref="F46:U46" si="37">SUM(F47:F67)</f>
        <v>0</v>
      </c>
      <c r="G46" s="36">
        <f t="shared" si="37"/>
        <v>20124</v>
      </c>
      <c r="H46" s="36">
        <f t="shared" si="37"/>
        <v>0</v>
      </c>
      <c r="I46" s="36">
        <f t="shared" si="37"/>
        <v>7321</v>
      </c>
      <c r="J46" s="36">
        <f t="shared" si="37"/>
        <v>23294.032999999999</v>
      </c>
      <c r="K46" s="36">
        <f t="shared" si="37"/>
        <v>0</v>
      </c>
      <c r="L46" s="36">
        <f t="shared" si="37"/>
        <v>22615.636999999999</v>
      </c>
      <c r="M46" s="36">
        <f t="shared" si="37"/>
        <v>0</v>
      </c>
      <c r="N46" s="36">
        <f t="shared" si="37"/>
        <v>17059.685000000001</v>
      </c>
      <c r="O46" s="36">
        <f t="shared" si="37"/>
        <v>3341</v>
      </c>
      <c r="P46" s="36">
        <f t="shared" si="37"/>
        <v>2214.9519999999998</v>
      </c>
      <c r="Q46" s="36">
        <f t="shared" si="37"/>
        <v>974.02338200000008</v>
      </c>
      <c r="R46" s="36">
        <f t="shared" si="37"/>
        <v>0</v>
      </c>
      <c r="S46" s="36">
        <f t="shared" si="37"/>
        <v>0</v>
      </c>
      <c r="T46" s="36">
        <f t="shared" si="37"/>
        <v>0</v>
      </c>
      <c r="U46" s="36">
        <f t="shared" si="37"/>
        <v>974.02338200000008</v>
      </c>
      <c r="V46" s="151">
        <f t="shared" ref="V46" si="38">SUM(V47:V67)</f>
        <v>678.39599999999996</v>
      </c>
      <c r="W46" s="151">
        <f t="shared" ref="W46" si="39">SUM(W47:W67)</f>
        <v>0</v>
      </c>
      <c r="X46" s="151">
        <f t="shared" ref="X46" si="40">SUM(X47:X67)</f>
        <v>0</v>
      </c>
      <c r="Y46" s="151">
        <f t="shared" ref="Y46" si="41">SUM(Y47:Y67)</f>
        <v>0</v>
      </c>
      <c r="Z46" s="151">
        <f t="shared" ref="Z46" si="42">SUM(Z47:Z67)</f>
        <v>678.39599999999996</v>
      </c>
      <c r="AA46" s="36"/>
      <c r="AB46" s="36"/>
      <c r="AC46" s="36"/>
      <c r="AD46" s="36"/>
      <c r="AE46" s="36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36"/>
      <c r="AR46" s="146">
        <f t="shared" si="35"/>
        <v>678.39600000000064</v>
      </c>
      <c r="AS46" s="146">
        <f t="shared" si="36"/>
        <v>0</v>
      </c>
    </row>
    <row r="47" spans="1:47" s="12" customFormat="1" ht="55.2" customHeight="1" x14ac:dyDescent="0.25">
      <c r="A47" s="13">
        <v>1</v>
      </c>
      <c r="B47" s="14" t="s">
        <v>12</v>
      </c>
      <c r="C47" s="15" t="s">
        <v>13</v>
      </c>
      <c r="D47" s="16" t="s">
        <v>14</v>
      </c>
      <c r="E47" s="38">
        <f>F47+G47+H47+I47</f>
        <v>1280</v>
      </c>
      <c r="F47" s="18"/>
      <c r="G47" s="38">
        <v>896</v>
      </c>
      <c r="H47" s="17"/>
      <c r="I47" s="39">
        <v>384</v>
      </c>
      <c r="J47" s="38">
        <v>1142.376</v>
      </c>
      <c r="K47" s="17"/>
      <c r="L47" s="38">
        <f>M47+N47+O47+P47</f>
        <v>1105</v>
      </c>
      <c r="M47" s="19"/>
      <c r="N47" s="38">
        <v>800</v>
      </c>
      <c r="O47" s="39">
        <v>256</v>
      </c>
      <c r="P47" s="40">
        <v>49</v>
      </c>
      <c r="Q47" s="41">
        <f>SUM(R47:U47)</f>
        <v>49</v>
      </c>
      <c r="R47" s="20"/>
      <c r="S47" s="20"/>
      <c r="T47" s="20"/>
      <c r="U47" s="42">
        <v>49</v>
      </c>
      <c r="V47" s="48">
        <f>SUM(W47:Z47)</f>
        <v>37.375999999999976</v>
      </c>
      <c r="W47" s="48"/>
      <c r="X47" s="48"/>
      <c r="Y47" s="48"/>
      <c r="Z47" s="48">
        <v>37.375999999999976</v>
      </c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3" t="s">
        <v>173</v>
      </c>
      <c r="AR47" s="146">
        <f t="shared" si="35"/>
        <v>37.375999999999976</v>
      </c>
      <c r="AS47" s="146">
        <f t="shared" si="36"/>
        <v>0</v>
      </c>
      <c r="AT47" s="43">
        <f t="shared" ref="AT47:AT67" si="43">U47/1000</f>
        <v>4.9000000000000002E-2</v>
      </c>
      <c r="AU47" s="21">
        <f t="shared" ref="AU47:AU67" si="44">V47/1000</f>
        <v>3.7375999999999979E-2</v>
      </c>
    </row>
    <row r="48" spans="1:47" s="12" customFormat="1" ht="39.6" x14ac:dyDescent="0.25">
      <c r="A48" s="13">
        <v>2</v>
      </c>
      <c r="B48" s="14" t="s">
        <v>15</v>
      </c>
      <c r="C48" s="15" t="s">
        <v>13</v>
      </c>
      <c r="D48" s="16" t="s">
        <v>16</v>
      </c>
      <c r="E48" s="38">
        <f t="shared" ref="E48:E67" si="45">F48+G48+H48+I48</f>
        <v>800</v>
      </c>
      <c r="F48" s="18"/>
      <c r="G48" s="38">
        <v>480</v>
      </c>
      <c r="H48" s="17"/>
      <c r="I48" s="39">
        <v>320</v>
      </c>
      <c r="J48" s="38">
        <v>787.20399999999995</v>
      </c>
      <c r="K48" s="17"/>
      <c r="L48" s="38">
        <f t="shared" ref="L48:L67" si="46">M48+N48+O48+P48</f>
        <v>763.32100000000003</v>
      </c>
      <c r="M48" s="19"/>
      <c r="N48" s="38">
        <v>480</v>
      </c>
      <c r="O48" s="40">
        <v>0</v>
      </c>
      <c r="P48" s="41">
        <v>283.32100000000003</v>
      </c>
      <c r="Q48" s="41">
        <f t="shared" ref="Q48:Q67" si="47">SUM(R48:U48)</f>
        <v>0</v>
      </c>
      <c r="R48" s="20"/>
      <c r="S48" s="20"/>
      <c r="T48" s="20"/>
      <c r="U48" s="42">
        <v>0</v>
      </c>
      <c r="V48" s="48">
        <f t="shared" ref="V48:V67" si="48">SUM(W48:Z48)</f>
        <v>23.882999999999925</v>
      </c>
      <c r="W48" s="48"/>
      <c r="X48" s="48"/>
      <c r="Y48" s="48"/>
      <c r="Z48" s="48">
        <v>23.882999999999925</v>
      </c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4"/>
      <c r="AR48" s="146">
        <f t="shared" si="35"/>
        <v>23.882999999999925</v>
      </c>
      <c r="AS48" s="146">
        <f t="shared" si="36"/>
        <v>0</v>
      </c>
      <c r="AT48" s="43">
        <f t="shared" si="43"/>
        <v>0</v>
      </c>
      <c r="AU48" s="21">
        <f t="shared" si="44"/>
        <v>2.3882999999999925E-2</v>
      </c>
    </row>
    <row r="49" spans="1:47" s="12" customFormat="1" ht="39.6" x14ac:dyDescent="0.25">
      <c r="A49" s="13">
        <v>3</v>
      </c>
      <c r="B49" s="14" t="s">
        <v>17</v>
      </c>
      <c r="C49" s="15" t="s">
        <v>13</v>
      </c>
      <c r="D49" s="16" t="s">
        <v>18</v>
      </c>
      <c r="E49" s="38">
        <f t="shared" si="45"/>
        <v>800</v>
      </c>
      <c r="F49" s="18"/>
      <c r="G49" s="38">
        <v>480</v>
      </c>
      <c r="H49" s="17"/>
      <c r="I49" s="39">
        <v>320</v>
      </c>
      <c r="J49" s="38">
        <v>781.68</v>
      </c>
      <c r="K49" s="17"/>
      <c r="L49" s="38">
        <f t="shared" si="46"/>
        <v>725.14699999999993</v>
      </c>
      <c r="M49" s="19"/>
      <c r="N49" s="38">
        <v>480</v>
      </c>
      <c r="O49" s="40">
        <v>0</v>
      </c>
      <c r="P49" s="41">
        <v>245.14699999999999</v>
      </c>
      <c r="Q49" s="41">
        <f t="shared" si="47"/>
        <v>0</v>
      </c>
      <c r="R49" s="20"/>
      <c r="S49" s="20"/>
      <c r="T49" s="20"/>
      <c r="U49" s="42">
        <v>0</v>
      </c>
      <c r="V49" s="48">
        <f t="shared" si="48"/>
        <v>56.533000000000015</v>
      </c>
      <c r="W49" s="48"/>
      <c r="X49" s="48"/>
      <c r="Y49" s="48"/>
      <c r="Z49" s="48">
        <v>56.533000000000015</v>
      </c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4"/>
      <c r="AR49" s="146">
        <f t="shared" si="35"/>
        <v>56.533000000000015</v>
      </c>
      <c r="AS49" s="146">
        <f t="shared" si="36"/>
        <v>0</v>
      </c>
      <c r="AT49" s="43">
        <f t="shared" si="43"/>
        <v>0</v>
      </c>
      <c r="AU49" s="21">
        <f t="shared" si="44"/>
        <v>5.6533000000000014E-2</v>
      </c>
    </row>
    <row r="50" spans="1:47" s="12" customFormat="1" ht="39.6" x14ac:dyDescent="0.25">
      <c r="A50" s="13">
        <v>4</v>
      </c>
      <c r="B50" s="14" t="s">
        <v>19</v>
      </c>
      <c r="C50" s="15" t="s">
        <v>13</v>
      </c>
      <c r="D50" s="16" t="s">
        <v>20</v>
      </c>
      <c r="E50" s="38">
        <f t="shared" si="45"/>
        <v>800</v>
      </c>
      <c r="F50" s="18"/>
      <c r="G50" s="38">
        <v>480</v>
      </c>
      <c r="H50" s="17"/>
      <c r="I50" s="39">
        <v>320</v>
      </c>
      <c r="J50" s="38">
        <v>785.79499999999996</v>
      </c>
      <c r="K50" s="17"/>
      <c r="L50" s="38">
        <f t="shared" si="46"/>
        <v>761.94399999999996</v>
      </c>
      <c r="M50" s="19"/>
      <c r="N50" s="38">
        <v>480</v>
      </c>
      <c r="O50" s="40">
        <v>0</v>
      </c>
      <c r="P50" s="41">
        <v>281.94400000000002</v>
      </c>
      <c r="Q50" s="41">
        <f t="shared" si="47"/>
        <v>281.94400000000002</v>
      </c>
      <c r="R50" s="20"/>
      <c r="S50" s="20"/>
      <c r="T50" s="20"/>
      <c r="U50" s="42">
        <v>281.94400000000002</v>
      </c>
      <c r="V50" s="48">
        <f t="shared" si="48"/>
        <v>23.850999999999999</v>
      </c>
      <c r="W50" s="48"/>
      <c r="X50" s="48"/>
      <c r="Y50" s="48"/>
      <c r="Z50" s="48">
        <v>23.850999999999999</v>
      </c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4"/>
      <c r="AR50" s="146">
        <f t="shared" si="35"/>
        <v>23.850999999999999</v>
      </c>
      <c r="AS50" s="146">
        <f t="shared" si="36"/>
        <v>0</v>
      </c>
      <c r="AT50" s="43">
        <f t="shared" si="43"/>
        <v>0.28194400000000003</v>
      </c>
      <c r="AU50" s="21">
        <f t="shared" si="44"/>
        <v>2.3851000000000001E-2</v>
      </c>
    </row>
    <row r="51" spans="1:47" s="12" customFormat="1" ht="39.6" x14ac:dyDescent="0.25">
      <c r="A51" s="13">
        <v>5</v>
      </c>
      <c r="B51" s="14" t="s">
        <v>21</v>
      </c>
      <c r="C51" s="15" t="s">
        <v>13</v>
      </c>
      <c r="D51" s="16" t="s">
        <v>22</v>
      </c>
      <c r="E51" s="38">
        <f t="shared" si="45"/>
        <v>800</v>
      </c>
      <c r="F51" s="18"/>
      <c r="G51" s="38">
        <v>480</v>
      </c>
      <c r="H51" s="17"/>
      <c r="I51" s="39">
        <v>320</v>
      </c>
      <c r="J51" s="38">
        <v>966.66099999999994</v>
      </c>
      <c r="K51" s="17"/>
      <c r="L51" s="38">
        <f t="shared" si="46"/>
        <v>937.62599999999998</v>
      </c>
      <c r="M51" s="19"/>
      <c r="N51" s="38">
        <v>480</v>
      </c>
      <c r="O51" s="40">
        <v>0</v>
      </c>
      <c r="P51" s="41">
        <v>457.62599999999998</v>
      </c>
      <c r="Q51" s="41">
        <f t="shared" si="47"/>
        <v>0</v>
      </c>
      <c r="R51" s="20"/>
      <c r="S51" s="20"/>
      <c r="T51" s="20"/>
      <c r="U51" s="42">
        <v>0</v>
      </c>
      <c r="V51" s="48">
        <f t="shared" si="48"/>
        <v>29.034999999999968</v>
      </c>
      <c r="W51" s="48"/>
      <c r="X51" s="48"/>
      <c r="Y51" s="48"/>
      <c r="Z51" s="48">
        <v>29.034999999999968</v>
      </c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4"/>
      <c r="AR51" s="146">
        <f t="shared" si="35"/>
        <v>29.034999999999968</v>
      </c>
      <c r="AS51" s="146">
        <f t="shared" si="36"/>
        <v>0</v>
      </c>
      <c r="AT51" s="43">
        <f t="shared" si="43"/>
        <v>0</v>
      </c>
      <c r="AU51" s="21">
        <f t="shared" si="44"/>
        <v>2.9034999999999967E-2</v>
      </c>
    </row>
    <row r="52" spans="1:47" s="12" customFormat="1" ht="39.6" x14ac:dyDescent="0.25">
      <c r="A52" s="13">
        <v>6</v>
      </c>
      <c r="B52" s="14" t="s">
        <v>23</v>
      </c>
      <c r="C52" s="15" t="s">
        <v>13</v>
      </c>
      <c r="D52" s="16" t="s">
        <v>24</v>
      </c>
      <c r="E52" s="38">
        <f t="shared" si="45"/>
        <v>1080</v>
      </c>
      <c r="F52" s="18"/>
      <c r="G52" s="38">
        <v>864</v>
      </c>
      <c r="H52" s="17"/>
      <c r="I52" s="39">
        <v>216</v>
      </c>
      <c r="J52" s="38">
        <v>993.49400000000003</v>
      </c>
      <c r="K52" s="17"/>
      <c r="L52" s="38">
        <f t="shared" si="46"/>
        <v>972</v>
      </c>
      <c r="M52" s="19"/>
      <c r="N52" s="38">
        <v>864</v>
      </c>
      <c r="O52" s="39">
        <v>108</v>
      </c>
      <c r="P52" s="40">
        <v>0</v>
      </c>
      <c r="Q52" s="41">
        <f t="shared" si="47"/>
        <v>0</v>
      </c>
      <c r="R52" s="20"/>
      <c r="S52" s="20"/>
      <c r="T52" s="20"/>
      <c r="U52" s="42">
        <v>0</v>
      </c>
      <c r="V52" s="48">
        <f t="shared" si="48"/>
        <v>21.494000000000028</v>
      </c>
      <c r="W52" s="48"/>
      <c r="X52" s="48"/>
      <c r="Y52" s="48"/>
      <c r="Z52" s="48">
        <v>21.494000000000028</v>
      </c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4"/>
      <c r="AR52" s="146">
        <f t="shared" si="35"/>
        <v>21.494000000000028</v>
      </c>
      <c r="AS52" s="146">
        <f t="shared" si="36"/>
        <v>0</v>
      </c>
      <c r="AT52" s="43">
        <f t="shared" si="43"/>
        <v>0</v>
      </c>
      <c r="AU52" s="21">
        <f t="shared" si="44"/>
        <v>2.1494000000000027E-2</v>
      </c>
    </row>
    <row r="53" spans="1:47" s="12" customFormat="1" ht="39.6" x14ac:dyDescent="0.25">
      <c r="A53" s="13">
        <v>7</v>
      </c>
      <c r="B53" s="14" t="s">
        <v>25</v>
      </c>
      <c r="C53" s="15" t="s">
        <v>13</v>
      </c>
      <c r="D53" s="16" t="s">
        <v>26</v>
      </c>
      <c r="E53" s="38">
        <f t="shared" si="45"/>
        <v>430</v>
      </c>
      <c r="F53" s="18"/>
      <c r="G53" s="38">
        <v>215</v>
      </c>
      <c r="H53" s="17"/>
      <c r="I53" s="39">
        <v>215</v>
      </c>
      <c r="J53" s="38">
        <v>385.32299999999998</v>
      </c>
      <c r="K53" s="17"/>
      <c r="L53" s="38">
        <f t="shared" si="46"/>
        <v>373.72299999999996</v>
      </c>
      <c r="M53" s="19"/>
      <c r="N53" s="38">
        <v>215</v>
      </c>
      <c r="O53" s="39">
        <v>43</v>
      </c>
      <c r="P53" s="42">
        <v>115.72299999999996</v>
      </c>
      <c r="Q53" s="41">
        <f t="shared" si="47"/>
        <v>115.72299999999996</v>
      </c>
      <c r="R53" s="20"/>
      <c r="S53" s="20"/>
      <c r="T53" s="20"/>
      <c r="U53" s="42">
        <v>115.72299999999996</v>
      </c>
      <c r="V53" s="48">
        <f t="shared" si="48"/>
        <v>11.600000000000023</v>
      </c>
      <c r="W53" s="48"/>
      <c r="X53" s="48"/>
      <c r="Y53" s="48"/>
      <c r="Z53" s="48">
        <v>11.600000000000023</v>
      </c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4"/>
      <c r="AR53" s="146">
        <f t="shared" si="35"/>
        <v>11.600000000000023</v>
      </c>
      <c r="AS53" s="146">
        <f t="shared" si="36"/>
        <v>0</v>
      </c>
      <c r="AT53" s="43">
        <f t="shared" si="43"/>
        <v>0.11572299999999995</v>
      </c>
      <c r="AU53" s="21">
        <f t="shared" si="44"/>
        <v>1.1600000000000023E-2</v>
      </c>
    </row>
    <row r="54" spans="1:47" s="12" customFormat="1" ht="39.6" x14ac:dyDescent="0.25">
      <c r="A54" s="13">
        <v>8</v>
      </c>
      <c r="B54" s="14" t="s">
        <v>27</v>
      </c>
      <c r="C54" s="15" t="s">
        <v>13</v>
      </c>
      <c r="D54" s="16" t="s">
        <v>28</v>
      </c>
      <c r="E54" s="38">
        <f t="shared" si="45"/>
        <v>1200</v>
      </c>
      <c r="F54" s="18"/>
      <c r="G54" s="38">
        <v>960</v>
      </c>
      <c r="H54" s="17"/>
      <c r="I54" s="39">
        <v>240</v>
      </c>
      <c r="J54" s="38">
        <v>1133.8240000000001</v>
      </c>
      <c r="K54" s="17"/>
      <c r="L54" s="38">
        <f t="shared" si="46"/>
        <v>1095</v>
      </c>
      <c r="M54" s="19"/>
      <c r="N54" s="38">
        <v>960</v>
      </c>
      <c r="O54" s="39">
        <v>120</v>
      </c>
      <c r="P54" s="40">
        <v>15</v>
      </c>
      <c r="Q54" s="41">
        <f t="shared" si="47"/>
        <v>15</v>
      </c>
      <c r="R54" s="20"/>
      <c r="S54" s="20"/>
      <c r="T54" s="20"/>
      <c r="U54" s="17">
        <v>15</v>
      </c>
      <c r="V54" s="48">
        <f t="shared" si="48"/>
        <v>38.824000000000069</v>
      </c>
      <c r="W54" s="48"/>
      <c r="X54" s="48"/>
      <c r="Y54" s="48"/>
      <c r="Z54" s="48">
        <v>38.824000000000069</v>
      </c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4"/>
      <c r="AR54" s="146">
        <f t="shared" si="35"/>
        <v>38.824000000000069</v>
      </c>
      <c r="AS54" s="146">
        <f t="shared" si="36"/>
        <v>0</v>
      </c>
      <c r="AT54" s="43">
        <f t="shared" si="43"/>
        <v>1.4999999999999999E-2</v>
      </c>
      <c r="AU54" s="21">
        <f t="shared" si="44"/>
        <v>3.8824000000000067E-2</v>
      </c>
    </row>
    <row r="55" spans="1:47" s="12" customFormat="1" ht="39.6" x14ac:dyDescent="0.25">
      <c r="A55" s="13">
        <v>9</v>
      </c>
      <c r="B55" s="14" t="s">
        <v>29</v>
      </c>
      <c r="C55" s="15" t="s">
        <v>13</v>
      </c>
      <c r="D55" s="16" t="s">
        <v>30</v>
      </c>
      <c r="E55" s="38">
        <f t="shared" si="45"/>
        <v>3000</v>
      </c>
      <c r="F55" s="18"/>
      <c r="G55" s="38">
        <v>2100</v>
      </c>
      <c r="H55" s="17"/>
      <c r="I55" s="39">
        <v>900</v>
      </c>
      <c r="J55" s="38">
        <v>2080.1779999999999</v>
      </c>
      <c r="K55" s="17"/>
      <c r="L55" s="38">
        <f t="shared" si="46"/>
        <v>1991</v>
      </c>
      <c r="M55" s="19"/>
      <c r="N55" s="38">
        <v>1652</v>
      </c>
      <c r="O55" s="39">
        <v>300</v>
      </c>
      <c r="P55" s="40">
        <v>39</v>
      </c>
      <c r="Q55" s="41">
        <f t="shared" si="47"/>
        <v>39</v>
      </c>
      <c r="R55" s="20"/>
      <c r="S55" s="20"/>
      <c r="T55" s="20"/>
      <c r="U55" s="42">
        <v>39</v>
      </c>
      <c r="V55" s="48">
        <f t="shared" si="48"/>
        <v>89.177999999999884</v>
      </c>
      <c r="W55" s="48"/>
      <c r="X55" s="48"/>
      <c r="Y55" s="48"/>
      <c r="Z55" s="48">
        <v>89.177999999999884</v>
      </c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4"/>
      <c r="AR55" s="146">
        <f t="shared" si="35"/>
        <v>89.177999999999884</v>
      </c>
      <c r="AS55" s="146">
        <f t="shared" si="36"/>
        <v>0</v>
      </c>
      <c r="AT55" s="43">
        <f t="shared" si="43"/>
        <v>3.9E-2</v>
      </c>
      <c r="AU55" s="21">
        <f t="shared" si="44"/>
        <v>8.9177999999999882E-2</v>
      </c>
    </row>
    <row r="56" spans="1:47" s="55" customFormat="1" ht="39.6" x14ac:dyDescent="0.25">
      <c r="A56" s="44">
        <v>10</v>
      </c>
      <c r="B56" s="45" t="s">
        <v>31</v>
      </c>
      <c r="C56" s="46" t="s">
        <v>13</v>
      </c>
      <c r="D56" s="47" t="s">
        <v>32</v>
      </c>
      <c r="E56" s="48">
        <f t="shared" si="45"/>
        <v>2100</v>
      </c>
      <c r="F56" s="49"/>
      <c r="G56" s="48">
        <v>1470</v>
      </c>
      <c r="H56" s="48"/>
      <c r="I56" s="49">
        <v>630</v>
      </c>
      <c r="J56" s="48">
        <v>1790.59</v>
      </c>
      <c r="K56" s="48"/>
      <c r="L56" s="50">
        <f t="shared" si="46"/>
        <v>1729.2439999999999</v>
      </c>
      <c r="M56" s="51"/>
      <c r="N56" s="48">
        <v>1280</v>
      </c>
      <c r="O56" s="49">
        <v>420</v>
      </c>
      <c r="P56" s="51">
        <v>29.244</v>
      </c>
      <c r="Q56" s="51">
        <f t="shared" si="47"/>
        <v>29.244</v>
      </c>
      <c r="R56" s="52"/>
      <c r="S56" s="52"/>
      <c r="T56" s="52"/>
      <c r="U56" s="53">
        <v>29.244</v>
      </c>
      <c r="V56" s="48">
        <f t="shared" si="48"/>
        <v>61.346000000000004</v>
      </c>
      <c r="W56" s="48"/>
      <c r="X56" s="48"/>
      <c r="Y56" s="48"/>
      <c r="Z56" s="48">
        <v>61.346000000000004</v>
      </c>
      <c r="AA56" s="17"/>
      <c r="AB56" s="48"/>
      <c r="AC56" s="48"/>
      <c r="AD56" s="48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4"/>
      <c r="AR56" s="146">
        <f t="shared" si="35"/>
        <v>61.346000000000004</v>
      </c>
      <c r="AS56" s="146">
        <f t="shared" si="36"/>
        <v>0</v>
      </c>
      <c r="AT56" s="54">
        <f t="shared" si="43"/>
        <v>2.9243999999999999E-2</v>
      </c>
      <c r="AU56" s="21">
        <f t="shared" si="44"/>
        <v>6.1346000000000005E-2</v>
      </c>
    </row>
    <row r="57" spans="1:47" s="60" customFormat="1" ht="39.6" x14ac:dyDescent="0.25">
      <c r="A57" s="56">
        <v>11</v>
      </c>
      <c r="B57" s="57" t="s">
        <v>33</v>
      </c>
      <c r="C57" s="58" t="s">
        <v>13</v>
      </c>
      <c r="D57" s="59" t="s">
        <v>34</v>
      </c>
      <c r="E57" s="38">
        <f t="shared" si="45"/>
        <v>2100</v>
      </c>
      <c r="F57" s="39"/>
      <c r="G57" s="38">
        <v>1680</v>
      </c>
      <c r="H57" s="38"/>
      <c r="I57" s="39">
        <v>420</v>
      </c>
      <c r="J57" s="38">
        <v>1388.84</v>
      </c>
      <c r="K57" s="38"/>
      <c r="L57" s="38">
        <f t="shared" si="46"/>
        <v>1331.557</v>
      </c>
      <c r="M57" s="41"/>
      <c r="N57" s="38">
        <v>1121.557</v>
      </c>
      <c r="O57" s="39">
        <v>210</v>
      </c>
      <c r="P57" s="40">
        <v>0</v>
      </c>
      <c r="Q57" s="41">
        <f t="shared" si="47"/>
        <v>0</v>
      </c>
      <c r="R57" s="40"/>
      <c r="S57" s="40"/>
      <c r="T57" s="40"/>
      <c r="U57" s="42">
        <v>0</v>
      </c>
      <c r="V57" s="48">
        <f t="shared" si="48"/>
        <v>57.282999999999902</v>
      </c>
      <c r="W57" s="48"/>
      <c r="X57" s="48"/>
      <c r="Y57" s="48"/>
      <c r="Z57" s="48">
        <v>57.282999999999902</v>
      </c>
      <c r="AA57" s="17"/>
      <c r="AB57" s="38"/>
      <c r="AC57" s="38"/>
      <c r="AD57" s="38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4"/>
      <c r="AR57" s="146">
        <f t="shared" si="35"/>
        <v>57.282999999999902</v>
      </c>
      <c r="AS57" s="146">
        <f t="shared" si="36"/>
        <v>0</v>
      </c>
      <c r="AT57" s="21">
        <f t="shared" si="43"/>
        <v>0</v>
      </c>
      <c r="AU57" s="21">
        <f t="shared" si="44"/>
        <v>5.7282999999999903E-2</v>
      </c>
    </row>
    <row r="58" spans="1:47" s="60" customFormat="1" ht="66" x14ac:dyDescent="0.25">
      <c r="A58" s="56">
        <v>12</v>
      </c>
      <c r="B58" s="57" t="s">
        <v>35</v>
      </c>
      <c r="C58" s="58" t="s">
        <v>13</v>
      </c>
      <c r="D58" s="59" t="s">
        <v>36</v>
      </c>
      <c r="E58" s="38">
        <f t="shared" si="45"/>
        <v>900</v>
      </c>
      <c r="F58" s="39"/>
      <c r="G58" s="38">
        <v>630</v>
      </c>
      <c r="H58" s="38"/>
      <c r="I58" s="39">
        <v>270</v>
      </c>
      <c r="J58" s="38">
        <v>883.56700000000001</v>
      </c>
      <c r="K58" s="38"/>
      <c r="L58" s="38">
        <f t="shared" si="46"/>
        <v>883.56700000000001</v>
      </c>
      <c r="M58" s="41"/>
      <c r="N58" s="38">
        <v>596.971</v>
      </c>
      <c r="O58" s="39">
        <v>180</v>
      </c>
      <c r="P58" s="40">
        <v>106.596</v>
      </c>
      <c r="Q58" s="41">
        <f t="shared" si="47"/>
        <v>106.596</v>
      </c>
      <c r="R58" s="40"/>
      <c r="S58" s="40"/>
      <c r="T58" s="40"/>
      <c r="U58" s="42">
        <v>106.596</v>
      </c>
      <c r="V58" s="48">
        <f t="shared" si="48"/>
        <v>0</v>
      </c>
      <c r="W58" s="48"/>
      <c r="X58" s="48"/>
      <c r="Y58" s="48"/>
      <c r="Z58" s="48">
        <v>0</v>
      </c>
      <c r="AA58" s="17"/>
      <c r="AB58" s="38"/>
      <c r="AC58" s="38"/>
      <c r="AD58" s="38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4"/>
      <c r="AR58" s="146">
        <f t="shared" si="35"/>
        <v>0</v>
      </c>
      <c r="AS58" s="146">
        <f t="shared" si="36"/>
        <v>0</v>
      </c>
      <c r="AT58" s="21">
        <f t="shared" si="43"/>
        <v>0.10659600000000001</v>
      </c>
      <c r="AU58" s="21">
        <f t="shared" si="44"/>
        <v>0</v>
      </c>
    </row>
    <row r="59" spans="1:47" s="60" customFormat="1" ht="39.6" x14ac:dyDescent="0.25">
      <c r="A59" s="56">
        <v>13</v>
      </c>
      <c r="B59" s="61" t="s">
        <v>37</v>
      </c>
      <c r="C59" s="56" t="s">
        <v>38</v>
      </c>
      <c r="D59" s="59" t="s">
        <v>39</v>
      </c>
      <c r="E59" s="38">
        <f t="shared" si="45"/>
        <v>1624</v>
      </c>
      <c r="F59" s="41"/>
      <c r="G59" s="38">
        <v>1137</v>
      </c>
      <c r="H59" s="38"/>
      <c r="I59" s="41">
        <v>487</v>
      </c>
      <c r="J59" s="38">
        <v>1617.3510000000001</v>
      </c>
      <c r="K59" s="38"/>
      <c r="L59" s="38">
        <f t="shared" si="46"/>
        <v>1615.3890000000001</v>
      </c>
      <c r="M59" s="41"/>
      <c r="N59" s="38">
        <v>1136</v>
      </c>
      <c r="O59" s="41">
        <v>325</v>
      </c>
      <c r="P59" s="41">
        <v>154.38900000000001</v>
      </c>
      <c r="Q59" s="41">
        <f t="shared" si="47"/>
        <v>54.552</v>
      </c>
      <c r="R59" s="41"/>
      <c r="S59" s="41"/>
      <c r="T59" s="39"/>
      <c r="U59" s="42">
        <v>54.552</v>
      </c>
      <c r="V59" s="48">
        <f t="shared" si="48"/>
        <v>1.9619999999999891</v>
      </c>
      <c r="W59" s="48"/>
      <c r="X59" s="48"/>
      <c r="Y59" s="48"/>
      <c r="Z59" s="48">
        <v>1.9619999999999891</v>
      </c>
      <c r="AA59" s="17"/>
      <c r="AB59" s="38"/>
      <c r="AC59" s="38"/>
      <c r="AD59" s="38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4"/>
      <c r="AR59" s="146">
        <f t="shared" si="35"/>
        <v>1.9619999999999891</v>
      </c>
      <c r="AS59" s="146">
        <f t="shared" si="36"/>
        <v>0</v>
      </c>
      <c r="AT59" s="21">
        <f t="shared" si="43"/>
        <v>5.4551999999999996E-2</v>
      </c>
      <c r="AU59" s="21">
        <f t="shared" si="44"/>
        <v>1.9619999999999889E-3</v>
      </c>
    </row>
    <row r="60" spans="1:47" s="60" customFormat="1" ht="69" x14ac:dyDescent="0.25">
      <c r="A60" s="56">
        <v>14</v>
      </c>
      <c r="B60" s="62" t="s">
        <v>40</v>
      </c>
      <c r="C60" s="58" t="s">
        <v>41</v>
      </c>
      <c r="D60" s="59" t="s">
        <v>42</v>
      </c>
      <c r="E60" s="38">
        <f t="shared" si="45"/>
        <v>1241</v>
      </c>
      <c r="F60" s="63"/>
      <c r="G60" s="38">
        <v>1000</v>
      </c>
      <c r="H60" s="38"/>
      <c r="I60" s="63">
        <v>241</v>
      </c>
      <c r="J60" s="38">
        <v>1233.1990000000001</v>
      </c>
      <c r="K60" s="38"/>
      <c r="L60" s="38">
        <f t="shared" si="46"/>
        <v>1217.549</v>
      </c>
      <c r="M60" s="63"/>
      <c r="N60" s="38">
        <v>1000</v>
      </c>
      <c r="O60" s="63">
        <v>0</v>
      </c>
      <c r="P60" s="63">
        <v>217.54900000000001</v>
      </c>
      <c r="Q60" s="41">
        <f t="shared" si="47"/>
        <v>217.459</v>
      </c>
      <c r="R60" s="63"/>
      <c r="S60" s="63"/>
      <c r="T60" s="63"/>
      <c r="U60" s="42">
        <v>217.459</v>
      </c>
      <c r="V60" s="48">
        <f t="shared" si="48"/>
        <v>15.650000000000091</v>
      </c>
      <c r="W60" s="48"/>
      <c r="X60" s="48"/>
      <c r="Y60" s="48"/>
      <c r="Z60" s="48">
        <v>15.650000000000091</v>
      </c>
      <c r="AA60" s="17"/>
      <c r="AB60" s="38"/>
      <c r="AC60" s="38"/>
      <c r="AD60" s="38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6" t="s">
        <v>174</v>
      </c>
      <c r="AR60" s="146">
        <f t="shared" si="35"/>
        <v>15.650000000000091</v>
      </c>
      <c r="AS60" s="146">
        <f t="shared" si="36"/>
        <v>0</v>
      </c>
      <c r="AT60" s="21">
        <f t="shared" si="43"/>
        <v>0.21745900000000001</v>
      </c>
      <c r="AU60" s="21">
        <f t="shared" si="44"/>
        <v>1.5650000000000091E-2</v>
      </c>
    </row>
    <row r="61" spans="1:47" s="60" customFormat="1" ht="55.2" customHeight="1" x14ac:dyDescent="0.25">
      <c r="A61" s="56">
        <v>15</v>
      </c>
      <c r="B61" s="57" t="s">
        <v>43</v>
      </c>
      <c r="C61" s="58" t="s">
        <v>13</v>
      </c>
      <c r="D61" s="58" t="s">
        <v>44</v>
      </c>
      <c r="E61" s="38">
        <f t="shared" si="45"/>
        <v>900</v>
      </c>
      <c r="F61" s="64"/>
      <c r="G61" s="38">
        <v>720</v>
      </c>
      <c r="H61" s="38"/>
      <c r="I61" s="64">
        <v>180</v>
      </c>
      <c r="J61" s="38">
        <v>886.95100000000002</v>
      </c>
      <c r="K61" s="38"/>
      <c r="L61" s="38">
        <f t="shared" si="46"/>
        <v>868.85500000000002</v>
      </c>
      <c r="M61" s="41"/>
      <c r="N61" s="38">
        <v>720</v>
      </c>
      <c r="O61" s="39">
        <v>90</v>
      </c>
      <c r="P61" s="63">
        <v>58.854999999999997</v>
      </c>
      <c r="Q61" s="41">
        <f t="shared" si="47"/>
        <v>58.854999999999997</v>
      </c>
      <c r="R61" s="65"/>
      <c r="S61" s="65"/>
      <c r="T61" s="65"/>
      <c r="U61" s="42">
        <v>58.854999999999997</v>
      </c>
      <c r="V61" s="48">
        <f t="shared" si="48"/>
        <v>18.096000000000004</v>
      </c>
      <c r="W61" s="48"/>
      <c r="X61" s="48"/>
      <c r="Y61" s="48"/>
      <c r="Z61" s="48">
        <v>18.096000000000004</v>
      </c>
      <c r="AA61" s="17"/>
      <c r="AB61" s="38"/>
      <c r="AC61" s="38"/>
      <c r="AD61" s="38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3" t="s">
        <v>173</v>
      </c>
      <c r="AR61" s="146">
        <f t="shared" si="35"/>
        <v>18.096000000000004</v>
      </c>
      <c r="AS61" s="146">
        <f t="shared" si="36"/>
        <v>0</v>
      </c>
      <c r="AT61" s="21">
        <f t="shared" si="43"/>
        <v>5.8854999999999998E-2</v>
      </c>
      <c r="AU61" s="21">
        <f t="shared" si="44"/>
        <v>1.8096000000000004E-2</v>
      </c>
    </row>
    <row r="62" spans="1:47" s="55" customFormat="1" ht="52.8" x14ac:dyDescent="0.25">
      <c r="A62" s="44">
        <v>16</v>
      </c>
      <c r="B62" s="45" t="s">
        <v>45</v>
      </c>
      <c r="C62" s="46" t="s">
        <v>46</v>
      </c>
      <c r="D62" s="46" t="s">
        <v>47</v>
      </c>
      <c r="E62" s="48">
        <f t="shared" si="45"/>
        <v>600</v>
      </c>
      <c r="F62" s="66"/>
      <c r="G62" s="48">
        <v>300</v>
      </c>
      <c r="H62" s="48"/>
      <c r="I62" s="66">
        <v>300</v>
      </c>
      <c r="J62" s="48">
        <v>518.90800000000002</v>
      </c>
      <c r="K62" s="48"/>
      <c r="L62" s="48">
        <f t="shared" si="46"/>
        <v>514.90800000000002</v>
      </c>
      <c r="M62" s="51"/>
      <c r="N62" s="48">
        <v>300</v>
      </c>
      <c r="O62" s="49">
        <v>60</v>
      </c>
      <c r="P62" s="67">
        <v>154.90799999999999</v>
      </c>
      <c r="Q62" s="51">
        <f t="shared" si="47"/>
        <v>0</v>
      </c>
      <c r="R62" s="68"/>
      <c r="S62" s="68"/>
      <c r="T62" s="68"/>
      <c r="U62" s="53">
        <v>0</v>
      </c>
      <c r="V62" s="48">
        <f t="shared" si="48"/>
        <v>4</v>
      </c>
      <c r="W62" s="48"/>
      <c r="X62" s="48"/>
      <c r="Y62" s="48"/>
      <c r="Z62" s="48">
        <v>4</v>
      </c>
      <c r="AA62" s="17"/>
      <c r="AB62" s="48"/>
      <c r="AC62" s="48"/>
      <c r="AD62" s="48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4"/>
      <c r="AR62" s="146">
        <f t="shared" si="35"/>
        <v>4</v>
      </c>
      <c r="AS62" s="146">
        <f t="shared" si="36"/>
        <v>0</v>
      </c>
      <c r="AT62" s="54">
        <f t="shared" si="43"/>
        <v>0</v>
      </c>
      <c r="AU62" s="21">
        <f t="shared" si="44"/>
        <v>4.0000000000000001E-3</v>
      </c>
    </row>
    <row r="63" spans="1:47" s="60" customFormat="1" ht="39.6" x14ac:dyDescent="0.25">
      <c r="A63" s="56">
        <v>17</v>
      </c>
      <c r="B63" s="57" t="s">
        <v>48</v>
      </c>
      <c r="C63" s="69" t="s">
        <v>46</v>
      </c>
      <c r="D63" s="58" t="s">
        <v>49</v>
      </c>
      <c r="E63" s="38">
        <f t="shared" si="45"/>
        <v>1200</v>
      </c>
      <c r="F63" s="64"/>
      <c r="G63" s="38">
        <v>960</v>
      </c>
      <c r="H63" s="38"/>
      <c r="I63" s="64">
        <v>240</v>
      </c>
      <c r="J63" s="38">
        <v>900.88199999999995</v>
      </c>
      <c r="K63" s="38"/>
      <c r="L63" s="38">
        <f t="shared" si="46"/>
        <v>900.51900000000001</v>
      </c>
      <c r="M63" s="41"/>
      <c r="N63" s="38">
        <v>780.51900000000001</v>
      </c>
      <c r="O63" s="39">
        <v>120</v>
      </c>
      <c r="P63" s="65">
        <v>0</v>
      </c>
      <c r="Q63" s="41">
        <f t="shared" si="47"/>
        <v>0</v>
      </c>
      <c r="R63" s="65"/>
      <c r="S63" s="65"/>
      <c r="T63" s="65"/>
      <c r="U63" s="42">
        <v>0</v>
      </c>
      <c r="V63" s="48">
        <f t="shared" si="48"/>
        <v>0.3629999999999427</v>
      </c>
      <c r="W63" s="48"/>
      <c r="X63" s="48"/>
      <c r="Y63" s="48"/>
      <c r="Z63" s="48">
        <v>0.3629999999999427</v>
      </c>
      <c r="AA63" s="17"/>
      <c r="AB63" s="38"/>
      <c r="AC63" s="38"/>
      <c r="AD63" s="38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4"/>
      <c r="AR63" s="146">
        <f t="shared" si="35"/>
        <v>0.3629999999999427</v>
      </c>
      <c r="AS63" s="146">
        <f t="shared" si="36"/>
        <v>0</v>
      </c>
      <c r="AT63" s="21">
        <f t="shared" si="43"/>
        <v>0</v>
      </c>
      <c r="AU63" s="21">
        <f t="shared" si="44"/>
        <v>3.6299999999994269E-4</v>
      </c>
    </row>
    <row r="64" spans="1:47" s="60" customFormat="1" ht="39.6" x14ac:dyDescent="0.25">
      <c r="A64" s="56">
        <v>18</v>
      </c>
      <c r="B64" s="57" t="s">
        <v>50</v>
      </c>
      <c r="C64" s="69" t="s">
        <v>46</v>
      </c>
      <c r="D64" s="58" t="s">
        <v>51</v>
      </c>
      <c r="E64" s="38">
        <f t="shared" si="45"/>
        <v>1850</v>
      </c>
      <c r="F64" s="70"/>
      <c r="G64" s="38">
        <v>1480</v>
      </c>
      <c r="H64" s="38"/>
      <c r="I64" s="70">
        <v>370</v>
      </c>
      <c r="J64" s="38">
        <v>1239.21</v>
      </c>
      <c r="K64" s="38"/>
      <c r="L64" s="38">
        <f t="shared" si="46"/>
        <v>1202</v>
      </c>
      <c r="M64" s="41"/>
      <c r="N64" s="38">
        <v>1017</v>
      </c>
      <c r="O64" s="39">
        <v>185</v>
      </c>
      <c r="P64" s="65">
        <v>0</v>
      </c>
      <c r="Q64" s="41">
        <f t="shared" si="47"/>
        <v>0</v>
      </c>
      <c r="R64" s="65"/>
      <c r="S64" s="65"/>
      <c r="T64" s="65"/>
      <c r="U64" s="42">
        <v>0</v>
      </c>
      <c r="V64" s="48">
        <f t="shared" si="48"/>
        <v>37.210000000000036</v>
      </c>
      <c r="W64" s="48"/>
      <c r="X64" s="48"/>
      <c r="Y64" s="48"/>
      <c r="Z64" s="48">
        <v>37.210000000000036</v>
      </c>
      <c r="AA64" s="17"/>
      <c r="AB64" s="38"/>
      <c r="AC64" s="38"/>
      <c r="AD64" s="38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4"/>
      <c r="AR64" s="146">
        <f t="shared" si="35"/>
        <v>37.210000000000036</v>
      </c>
      <c r="AS64" s="146">
        <f t="shared" si="36"/>
        <v>0</v>
      </c>
      <c r="AT64" s="21">
        <f t="shared" si="43"/>
        <v>0</v>
      </c>
      <c r="AU64" s="21">
        <f t="shared" si="44"/>
        <v>3.7210000000000035E-2</v>
      </c>
    </row>
    <row r="65" spans="1:47" s="60" customFormat="1" ht="39.6" x14ac:dyDescent="0.25">
      <c r="A65" s="56">
        <v>19</v>
      </c>
      <c r="B65" s="57" t="s">
        <v>52</v>
      </c>
      <c r="C65" s="69" t="s">
        <v>46</v>
      </c>
      <c r="D65" s="58" t="s">
        <v>53</v>
      </c>
      <c r="E65" s="38">
        <f t="shared" si="45"/>
        <v>240</v>
      </c>
      <c r="F65" s="70"/>
      <c r="G65" s="38">
        <v>192</v>
      </c>
      <c r="H65" s="38"/>
      <c r="I65" s="70">
        <v>48</v>
      </c>
      <c r="J65" s="38">
        <v>237.96</v>
      </c>
      <c r="K65" s="38"/>
      <c r="L65" s="38">
        <f t="shared" si="46"/>
        <v>222.65</v>
      </c>
      <c r="M65" s="41"/>
      <c r="N65" s="38">
        <v>192</v>
      </c>
      <c r="O65" s="39">
        <v>24</v>
      </c>
      <c r="P65" s="63">
        <v>6.65</v>
      </c>
      <c r="Q65" s="41">
        <f t="shared" si="47"/>
        <v>6.6503819999999996</v>
      </c>
      <c r="R65" s="65"/>
      <c r="S65" s="65"/>
      <c r="T65" s="65"/>
      <c r="U65" s="42">
        <v>6.6503819999999996</v>
      </c>
      <c r="V65" s="48">
        <f t="shared" si="48"/>
        <v>15.310000000000002</v>
      </c>
      <c r="W65" s="48"/>
      <c r="X65" s="48"/>
      <c r="Y65" s="48"/>
      <c r="Z65" s="48">
        <v>15.310000000000002</v>
      </c>
      <c r="AA65" s="17"/>
      <c r="AB65" s="38"/>
      <c r="AC65" s="38"/>
      <c r="AD65" s="38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4"/>
      <c r="AR65" s="146">
        <f t="shared" si="35"/>
        <v>15.310000000000002</v>
      </c>
      <c r="AS65" s="146">
        <f t="shared" si="36"/>
        <v>0</v>
      </c>
      <c r="AT65" s="21">
        <f t="shared" si="43"/>
        <v>6.6503819999999998E-3</v>
      </c>
      <c r="AU65" s="21">
        <f t="shared" si="44"/>
        <v>1.5310000000000002E-2</v>
      </c>
    </row>
    <row r="66" spans="1:47" s="60" customFormat="1" ht="39.6" x14ac:dyDescent="0.25">
      <c r="A66" s="56">
        <v>20</v>
      </c>
      <c r="B66" s="57" t="s">
        <v>54</v>
      </c>
      <c r="C66" s="69" t="s">
        <v>46</v>
      </c>
      <c r="D66" s="58" t="s">
        <v>55</v>
      </c>
      <c r="E66" s="38">
        <f t="shared" si="45"/>
        <v>1200</v>
      </c>
      <c r="F66" s="70"/>
      <c r="G66" s="38">
        <v>960</v>
      </c>
      <c r="H66" s="38"/>
      <c r="I66" s="70">
        <v>240</v>
      </c>
      <c r="J66" s="38">
        <v>1139.884</v>
      </c>
      <c r="K66" s="38"/>
      <c r="L66" s="38">
        <f t="shared" si="46"/>
        <v>1085</v>
      </c>
      <c r="M66" s="41"/>
      <c r="N66" s="38">
        <v>845</v>
      </c>
      <c r="O66" s="39">
        <v>240</v>
      </c>
      <c r="P66" s="65">
        <v>0</v>
      </c>
      <c r="Q66" s="41">
        <f t="shared" si="47"/>
        <v>0</v>
      </c>
      <c r="R66" s="65"/>
      <c r="S66" s="65"/>
      <c r="T66" s="65"/>
      <c r="U66" s="42">
        <v>0</v>
      </c>
      <c r="V66" s="48">
        <f t="shared" si="48"/>
        <v>54.884000000000015</v>
      </c>
      <c r="W66" s="48"/>
      <c r="X66" s="48"/>
      <c r="Y66" s="48"/>
      <c r="Z66" s="48">
        <v>54.884000000000015</v>
      </c>
      <c r="AA66" s="17"/>
      <c r="AB66" s="38"/>
      <c r="AC66" s="38"/>
      <c r="AD66" s="38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4"/>
      <c r="AR66" s="146">
        <f t="shared" si="35"/>
        <v>54.884000000000015</v>
      </c>
      <c r="AS66" s="146">
        <f t="shared" si="36"/>
        <v>0</v>
      </c>
      <c r="AT66" s="21">
        <f t="shared" si="43"/>
        <v>0</v>
      </c>
      <c r="AU66" s="21">
        <f t="shared" si="44"/>
        <v>5.4884000000000016E-2</v>
      </c>
    </row>
    <row r="67" spans="1:47" s="60" customFormat="1" ht="39.6" x14ac:dyDescent="0.25">
      <c r="A67" s="56">
        <v>21</v>
      </c>
      <c r="B67" s="57" t="s">
        <v>56</v>
      </c>
      <c r="C67" s="69" t="s">
        <v>46</v>
      </c>
      <c r="D67" s="58" t="s">
        <v>57</v>
      </c>
      <c r="E67" s="38">
        <f t="shared" si="45"/>
        <v>3300</v>
      </c>
      <c r="F67" s="70"/>
      <c r="G67" s="38">
        <v>2640</v>
      </c>
      <c r="H67" s="38"/>
      <c r="I67" s="70">
        <v>660</v>
      </c>
      <c r="J67" s="38">
        <v>2400.1559999999999</v>
      </c>
      <c r="K67" s="38"/>
      <c r="L67" s="38">
        <f t="shared" si="46"/>
        <v>2319.6379999999999</v>
      </c>
      <c r="M67" s="41"/>
      <c r="N67" s="38">
        <v>1659.6379999999999</v>
      </c>
      <c r="O67" s="39">
        <v>660</v>
      </c>
      <c r="P67" s="65">
        <v>0</v>
      </c>
      <c r="Q67" s="41">
        <f t="shared" si="47"/>
        <v>0</v>
      </c>
      <c r="R67" s="65"/>
      <c r="S67" s="65"/>
      <c r="T67" s="65"/>
      <c r="U67" s="42">
        <v>0</v>
      </c>
      <c r="V67" s="48">
        <f t="shared" si="48"/>
        <v>80.518000000000029</v>
      </c>
      <c r="W67" s="48"/>
      <c r="X67" s="48"/>
      <c r="Y67" s="48"/>
      <c r="Z67" s="48">
        <v>80.518000000000029</v>
      </c>
      <c r="AA67" s="17"/>
      <c r="AB67" s="38"/>
      <c r="AC67" s="38"/>
      <c r="AD67" s="38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5"/>
      <c r="AR67" s="146">
        <f t="shared" si="35"/>
        <v>80.518000000000029</v>
      </c>
      <c r="AS67" s="146">
        <f t="shared" si="36"/>
        <v>0</v>
      </c>
      <c r="AT67" s="21">
        <f t="shared" si="43"/>
        <v>0</v>
      </c>
      <c r="AU67" s="21">
        <f t="shared" si="44"/>
        <v>8.0518000000000034E-2</v>
      </c>
    </row>
    <row r="68" spans="1:47" ht="49.8" customHeight="1" x14ac:dyDescent="0.25">
      <c r="A68" s="33" t="s">
        <v>60</v>
      </c>
      <c r="B68" s="34" t="s">
        <v>169</v>
      </c>
      <c r="C68" s="6"/>
      <c r="D68" s="6"/>
      <c r="E68" s="2">
        <f>E69</f>
        <v>1076</v>
      </c>
      <c r="F68" s="2">
        <f t="shared" ref="F68:Z68" si="49">F69</f>
        <v>0</v>
      </c>
      <c r="G68" s="2">
        <f t="shared" si="49"/>
        <v>900</v>
      </c>
      <c r="H68" s="2">
        <f t="shared" si="49"/>
        <v>176</v>
      </c>
      <c r="I68" s="2">
        <f t="shared" si="49"/>
        <v>724</v>
      </c>
      <c r="J68" s="2">
        <f t="shared" si="49"/>
        <v>1780</v>
      </c>
      <c r="K68" s="2">
        <f t="shared" si="49"/>
        <v>0</v>
      </c>
      <c r="L68" s="2">
        <f t="shared" si="49"/>
        <v>1779.8600000000001</v>
      </c>
      <c r="M68" s="2">
        <f t="shared" si="49"/>
        <v>0</v>
      </c>
      <c r="N68" s="2">
        <f t="shared" si="49"/>
        <v>898</v>
      </c>
      <c r="O68" s="2">
        <f t="shared" si="49"/>
        <v>176</v>
      </c>
      <c r="P68" s="2">
        <f t="shared" si="49"/>
        <v>705.86</v>
      </c>
      <c r="Q68" s="2">
        <f t="shared" si="49"/>
        <v>469.86</v>
      </c>
      <c r="R68" s="2">
        <f t="shared" si="49"/>
        <v>0</v>
      </c>
      <c r="S68" s="2">
        <f t="shared" si="49"/>
        <v>0</v>
      </c>
      <c r="T68" s="2">
        <f t="shared" si="49"/>
        <v>0</v>
      </c>
      <c r="U68" s="2">
        <f t="shared" si="49"/>
        <v>469.86</v>
      </c>
      <c r="V68" s="123">
        <f t="shared" si="49"/>
        <v>0</v>
      </c>
      <c r="W68" s="123">
        <f t="shared" si="49"/>
        <v>0</v>
      </c>
      <c r="X68" s="123">
        <f t="shared" si="49"/>
        <v>0</v>
      </c>
      <c r="Y68" s="123">
        <f t="shared" si="49"/>
        <v>0</v>
      </c>
      <c r="Z68" s="123">
        <f t="shared" si="49"/>
        <v>0</v>
      </c>
      <c r="AA68" s="2"/>
      <c r="AB68" s="2"/>
      <c r="AC68" s="2"/>
      <c r="AD68" s="2"/>
      <c r="AE68" s="2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6"/>
      <c r="AR68" s="146">
        <f t="shared" si="35"/>
        <v>0.13999999999987267</v>
      </c>
      <c r="AS68" s="146">
        <f t="shared" si="36"/>
        <v>0.13999999999987267</v>
      </c>
    </row>
    <row r="69" spans="1:47" s="134" customFormat="1" ht="67.8" customHeight="1" x14ac:dyDescent="0.25">
      <c r="A69" s="33"/>
      <c r="B69" s="85" t="s">
        <v>170</v>
      </c>
      <c r="C69" s="69" t="s">
        <v>171</v>
      </c>
      <c r="D69" s="132" t="s">
        <v>172</v>
      </c>
      <c r="E69" s="132">
        <v>1076</v>
      </c>
      <c r="F69" s="132"/>
      <c r="G69" s="132">
        <v>900</v>
      </c>
      <c r="H69" s="132">
        <v>176</v>
      </c>
      <c r="I69" s="132">
        <v>724</v>
      </c>
      <c r="J69" s="132">
        <v>1780</v>
      </c>
      <c r="K69" s="132"/>
      <c r="L69" s="132">
        <f>SUM(M69:P69)</f>
        <v>1779.8600000000001</v>
      </c>
      <c r="M69" s="132"/>
      <c r="N69" s="132">
        <v>898</v>
      </c>
      <c r="O69" s="132">
        <v>176</v>
      </c>
      <c r="P69" s="132">
        <f>236+469.86</f>
        <v>705.86</v>
      </c>
      <c r="Q69" s="132">
        <f>U69</f>
        <v>469.86</v>
      </c>
      <c r="R69" s="132"/>
      <c r="S69" s="132"/>
      <c r="T69" s="132"/>
      <c r="U69" s="132">
        <v>469.86</v>
      </c>
      <c r="V69" s="133"/>
      <c r="W69" s="133"/>
      <c r="X69" s="133"/>
      <c r="Y69" s="133"/>
      <c r="Z69" s="133">
        <v>0</v>
      </c>
      <c r="AA69" s="132"/>
      <c r="AB69" s="132"/>
      <c r="AC69" s="132"/>
      <c r="AD69" s="132"/>
      <c r="AE69" s="14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32" t="s">
        <v>173</v>
      </c>
      <c r="AR69" s="146">
        <f t="shared" si="35"/>
        <v>0.13999999999987267</v>
      </c>
      <c r="AS69" s="146">
        <f t="shared" si="36"/>
        <v>0.13999999999987267</v>
      </c>
    </row>
    <row r="70" spans="1:47" ht="49.8" customHeight="1" x14ac:dyDescent="0.25">
      <c r="A70" s="33" t="s">
        <v>168</v>
      </c>
      <c r="B70" s="34" t="s">
        <v>175</v>
      </c>
      <c r="C70" s="6"/>
      <c r="D70" s="6"/>
      <c r="E70" s="2">
        <f>SUM(E71:E72)</f>
        <v>3794</v>
      </c>
      <c r="F70" s="2">
        <f t="shared" ref="F70:Z70" si="50">SUM(F71:F72)</f>
        <v>0</v>
      </c>
      <c r="G70" s="2">
        <f t="shared" si="50"/>
        <v>2330</v>
      </c>
      <c r="H70" s="2">
        <f t="shared" si="50"/>
        <v>1464</v>
      </c>
      <c r="I70" s="2">
        <f t="shared" si="50"/>
        <v>0</v>
      </c>
      <c r="J70" s="2">
        <f t="shared" si="50"/>
        <v>3166</v>
      </c>
      <c r="K70" s="2">
        <f t="shared" si="50"/>
        <v>0</v>
      </c>
      <c r="L70" s="2">
        <f t="shared" si="50"/>
        <v>3018.9700000000003</v>
      </c>
      <c r="M70" s="2">
        <f t="shared" si="50"/>
        <v>0</v>
      </c>
      <c r="N70" s="2">
        <f t="shared" si="50"/>
        <v>1996</v>
      </c>
      <c r="O70" s="2">
        <f t="shared" si="50"/>
        <v>610</v>
      </c>
      <c r="P70" s="2">
        <f t="shared" si="50"/>
        <v>412.97</v>
      </c>
      <c r="Q70" s="2">
        <f t="shared" si="50"/>
        <v>34.67</v>
      </c>
      <c r="R70" s="2">
        <f t="shared" si="50"/>
        <v>0</v>
      </c>
      <c r="S70" s="2">
        <f t="shared" si="50"/>
        <v>0</v>
      </c>
      <c r="T70" s="2">
        <f t="shared" si="50"/>
        <v>0</v>
      </c>
      <c r="U70" s="2">
        <f t="shared" si="50"/>
        <v>34.67</v>
      </c>
      <c r="V70" s="123">
        <f t="shared" si="50"/>
        <v>147.43</v>
      </c>
      <c r="W70" s="123">
        <f t="shared" si="50"/>
        <v>0</v>
      </c>
      <c r="X70" s="123">
        <f t="shared" si="50"/>
        <v>0</v>
      </c>
      <c r="Y70" s="123">
        <f t="shared" si="50"/>
        <v>0</v>
      </c>
      <c r="Z70" s="123">
        <f t="shared" si="50"/>
        <v>147.43</v>
      </c>
      <c r="AA70" s="2"/>
      <c r="AB70" s="2"/>
      <c r="AC70" s="2"/>
      <c r="AD70" s="2"/>
      <c r="AE70" s="2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6"/>
      <c r="AR70" s="146">
        <f t="shared" si="35"/>
        <v>147.02999999999975</v>
      </c>
      <c r="AS70" s="146">
        <f t="shared" si="36"/>
        <v>-0.40000000000026148</v>
      </c>
    </row>
    <row r="71" spans="1:47" s="22" customFormat="1" ht="51.6" customHeight="1" x14ac:dyDescent="0.25">
      <c r="A71" s="10">
        <v>1</v>
      </c>
      <c r="B71" s="24" t="s">
        <v>176</v>
      </c>
      <c r="C71" s="24" t="s">
        <v>177</v>
      </c>
      <c r="D71" s="10" t="s">
        <v>178</v>
      </c>
      <c r="E71" s="17">
        <v>1300</v>
      </c>
      <c r="F71" s="17"/>
      <c r="G71" s="17">
        <v>650</v>
      </c>
      <c r="H71" s="17">
        <v>650</v>
      </c>
      <c r="I71" s="17"/>
      <c r="J71" s="17">
        <v>1190</v>
      </c>
      <c r="K71" s="17"/>
      <c r="L71" s="132">
        <f>SUM(M71:P71)</f>
        <v>1158.3</v>
      </c>
      <c r="M71" s="17"/>
      <c r="N71" s="17">
        <v>650</v>
      </c>
      <c r="O71" s="17">
        <v>130</v>
      </c>
      <c r="P71" s="17">
        <f>409-30.7</f>
        <v>378.3</v>
      </c>
      <c r="Q71" s="17">
        <v>0</v>
      </c>
      <c r="R71" s="17"/>
      <c r="S71" s="17"/>
      <c r="T71" s="17"/>
      <c r="U71" s="17"/>
      <c r="V71" s="131">
        <f>SUM(W71:Z71)</f>
        <v>31.7</v>
      </c>
      <c r="W71" s="131"/>
      <c r="X71" s="131"/>
      <c r="Y71" s="131"/>
      <c r="Z71" s="131">
        <v>31.7</v>
      </c>
      <c r="AA71" s="132"/>
      <c r="AB71" s="17"/>
      <c r="AC71" s="17"/>
      <c r="AD71" s="17"/>
      <c r="AE71" s="132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0" t="s">
        <v>173</v>
      </c>
      <c r="AR71" s="149">
        <f t="shared" si="35"/>
        <v>31.700000000000045</v>
      </c>
      <c r="AS71" s="146">
        <f t="shared" si="36"/>
        <v>4.6185277824406512E-14</v>
      </c>
    </row>
    <row r="72" spans="1:47" s="22" customFormat="1" ht="51.6" customHeight="1" x14ac:dyDescent="0.25">
      <c r="A72" s="10">
        <v>2</v>
      </c>
      <c r="B72" s="24" t="s">
        <v>179</v>
      </c>
      <c r="C72" s="24" t="s">
        <v>180</v>
      </c>
      <c r="D72" s="10" t="s">
        <v>181</v>
      </c>
      <c r="E72" s="17">
        <v>2494</v>
      </c>
      <c r="F72" s="17"/>
      <c r="G72" s="17">
        <v>1680</v>
      </c>
      <c r="H72" s="17">
        <v>814</v>
      </c>
      <c r="I72" s="17"/>
      <c r="J72" s="17">
        <v>1976</v>
      </c>
      <c r="K72" s="17"/>
      <c r="L72" s="17">
        <f>M72+N72+O72+P72</f>
        <v>1860.67</v>
      </c>
      <c r="M72" s="17"/>
      <c r="N72" s="17">
        <v>1346</v>
      </c>
      <c r="O72" s="17">
        <v>480</v>
      </c>
      <c r="P72" s="130">
        <v>34.67</v>
      </c>
      <c r="Q72" s="130">
        <v>34.67</v>
      </c>
      <c r="R72" s="130"/>
      <c r="S72" s="130"/>
      <c r="T72" s="130"/>
      <c r="U72" s="130">
        <v>34.67</v>
      </c>
      <c r="V72" s="131">
        <f>SUM(W72:Z72)</f>
        <v>115.73</v>
      </c>
      <c r="W72" s="131"/>
      <c r="X72" s="131"/>
      <c r="Y72" s="131"/>
      <c r="Z72" s="131">
        <v>115.73</v>
      </c>
      <c r="AA72" s="132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0" t="s">
        <v>173</v>
      </c>
      <c r="AR72" s="146">
        <f t="shared" ref="AR72:AR103" si="51">J72-L72</f>
        <v>115.32999999999993</v>
      </c>
      <c r="AS72" s="146">
        <f t="shared" ref="AS72:AS103" si="52">AR72-Z72</f>
        <v>-0.40000000000007674</v>
      </c>
    </row>
    <row r="73" spans="1:47" ht="49.8" customHeight="1" x14ac:dyDescent="0.25">
      <c r="A73" s="33" t="s">
        <v>182</v>
      </c>
      <c r="B73" s="34" t="s">
        <v>184</v>
      </c>
      <c r="C73" s="6"/>
      <c r="D73" s="6"/>
      <c r="E73" s="2">
        <f>SUM(E74:E97)</f>
        <v>27788.952000000001</v>
      </c>
      <c r="F73" s="2">
        <f t="shared" ref="F73:U73" si="53">SUM(F74:F97)</f>
        <v>0</v>
      </c>
      <c r="G73" s="2">
        <f t="shared" si="53"/>
        <v>19652</v>
      </c>
      <c r="H73" s="2">
        <f t="shared" si="53"/>
        <v>3796.5320000000002</v>
      </c>
      <c r="I73" s="2">
        <f t="shared" si="53"/>
        <v>4340.4679999999998</v>
      </c>
      <c r="J73" s="2">
        <f t="shared" si="53"/>
        <v>26883.395999999997</v>
      </c>
      <c r="K73" s="2">
        <f t="shared" si="53"/>
        <v>0</v>
      </c>
      <c r="L73" s="2">
        <f t="shared" si="53"/>
        <v>24179.983999999997</v>
      </c>
      <c r="M73" s="2">
        <f t="shared" si="53"/>
        <v>0</v>
      </c>
      <c r="N73" s="2">
        <f t="shared" si="53"/>
        <v>19168.544000000002</v>
      </c>
      <c r="O73" s="2">
        <f t="shared" si="53"/>
        <v>3552.3159999999998</v>
      </c>
      <c r="P73" s="2">
        <f t="shared" si="53"/>
        <v>978.64799999999991</v>
      </c>
      <c r="Q73" s="2">
        <f t="shared" si="53"/>
        <v>0</v>
      </c>
      <c r="R73" s="2">
        <f t="shared" si="53"/>
        <v>0</v>
      </c>
      <c r="S73" s="2">
        <f t="shared" si="53"/>
        <v>0</v>
      </c>
      <c r="T73" s="2">
        <f t="shared" si="53"/>
        <v>0</v>
      </c>
      <c r="U73" s="2">
        <f t="shared" si="53"/>
        <v>835.13100000000009</v>
      </c>
      <c r="V73" s="123">
        <f t="shared" ref="V73" si="54">SUM(V74:V97)</f>
        <v>2703.8109999999997</v>
      </c>
      <c r="W73" s="123">
        <f t="shared" ref="W73" si="55">SUM(W74:W97)</f>
        <v>0</v>
      </c>
      <c r="X73" s="123">
        <f t="shared" ref="X73" si="56">SUM(X74:X97)</f>
        <v>0</v>
      </c>
      <c r="Y73" s="123">
        <f t="shared" ref="Y73" si="57">SUM(Y74:Y97)</f>
        <v>0</v>
      </c>
      <c r="Z73" s="123">
        <f t="shared" ref="Z73" si="58">SUM(Z74:Z97)</f>
        <v>2703.8109999999997</v>
      </c>
      <c r="AA73" s="2"/>
      <c r="AB73" s="2"/>
      <c r="AC73" s="2"/>
      <c r="AD73" s="2"/>
      <c r="AE73" s="2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6"/>
      <c r="AR73" s="146">
        <f t="shared" si="51"/>
        <v>2703.4120000000003</v>
      </c>
      <c r="AS73" s="146">
        <f t="shared" si="52"/>
        <v>-0.39899999999943248</v>
      </c>
    </row>
    <row r="74" spans="1:47" ht="72.75" customHeight="1" x14ac:dyDescent="0.25">
      <c r="A74" s="6">
        <v>1</v>
      </c>
      <c r="B74" s="87" t="s">
        <v>185</v>
      </c>
      <c r="C74" s="88" t="s">
        <v>186</v>
      </c>
      <c r="D74" s="89" t="s">
        <v>187</v>
      </c>
      <c r="E74" s="90">
        <v>2240</v>
      </c>
      <c r="F74" s="90"/>
      <c r="G74" s="90">
        <v>1568</v>
      </c>
      <c r="H74" s="90">
        <f>672-I74</f>
        <v>464.57900000000018</v>
      </c>
      <c r="I74" s="91">
        <v>207.42099999999982</v>
      </c>
      <c r="J74" s="92">
        <v>2223.4209999999998</v>
      </c>
      <c r="K74" s="92"/>
      <c r="L74" s="92">
        <v>2016</v>
      </c>
      <c r="M74" s="7"/>
      <c r="N74" s="92">
        <v>1568</v>
      </c>
      <c r="O74" s="92">
        <v>448</v>
      </c>
      <c r="P74" s="92">
        <v>0</v>
      </c>
      <c r="Q74" s="7"/>
      <c r="R74" s="7"/>
      <c r="S74" s="7"/>
      <c r="T74" s="7"/>
      <c r="U74" s="7"/>
      <c r="V74" s="127">
        <f>SUM(W74:Z74)</f>
        <v>207.42099999999982</v>
      </c>
      <c r="W74" s="127"/>
      <c r="X74" s="127"/>
      <c r="Y74" s="127"/>
      <c r="Z74" s="127">
        <v>207.42099999999982</v>
      </c>
      <c r="AA74" s="93"/>
      <c r="AB74" s="7"/>
      <c r="AC74" s="7"/>
      <c r="AD74" s="7"/>
      <c r="AE74" s="93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3" t="s">
        <v>173</v>
      </c>
      <c r="AR74" s="146">
        <f t="shared" si="51"/>
        <v>207.42099999999982</v>
      </c>
      <c r="AS74" s="146">
        <f t="shared" si="52"/>
        <v>0</v>
      </c>
    </row>
    <row r="75" spans="1:47" s="94" customFormat="1" ht="72.75" customHeight="1" x14ac:dyDescent="0.25">
      <c r="A75" s="6">
        <v>2</v>
      </c>
      <c r="B75" s="87" t="s">
        <v>188</v>
      </c>
      <c r="C75" s="88" t="s">
        <v>189</v>
      </c>
      <c r="D75" s="89" t="s">
        <v>190</v>
      </c>
      <c r="E75" s="90">
        <v>1700</v>
      </c>
      <c r="F75" s="90"/>
      <c r="G75" s="90">
        <v>1190</v>
      </c>
      <c r="H75" s="90">
        <f>510-I75</f>
        <v>417</v>
      </c>
      <c r="I75" s="91">
        <v>93</v>
      </c>
      <c r="J75" s="92">
        <v>1623.3920000000001</v>
      </c>
      <c r="K75" s="92"/>
      <c r="L75" s="92">
        <f>SUM(M75:P75)</f>
        <v>1577.6420000000001</v>
      </c>
      <c r="M75" s="7"/>
      <c r="N75" s="92">
        <v>1190</v>
      </c>
      <c r="O75" s="92">
        <v>296.23899999999998</v>
      </c>
      <c r="P75" s="92">
        <f>43.761+47.642</f>
        <v>91.403000000000006</v>
      </c>
      <c r="Q75" s="7"/>
      <c r="R75" s="7"/>
      <c r="S75" s="7"/>
      <c r="T75" s="7"/>
      <c r="U75" s="92">
        <f>47.642</f>
        <v>47.642000000000003</v>
      </c>
      <c r="V75" s="127">
        <f t="shared" ref="V75:V97" si="59">SUM(W75:Z75)</f>
        <v>46</v>
      </c>
      <c r="W75" s="127"/>
      <c r="X75" s="127"/>
      <c r="Y75" s="127"/>
      <c r="Z75" s="127">
        <v>46</v>
      </c>
      <c r="AA75" s="93"/>
      <c r="AB75" s="7"/>
      <c r="AC75" s="7"/>
      <c r="AD75" s="7"/>
      <c r="AE75" s="93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4"/>
      <c r="AR75" s="146">
        <f t="shared" si="51"/>
        <v>45.75</v>
      </c>
      <c r="AS75" s="146">
        <f t="shared" si="52"/>
        <v>-0.25</v>
      </c>
    </row>
    <row r="76" spans="1:47" s="94" customFormat="1" ht="72.75" customHeight="1" x14ac:dyDescent="0.25">
      <c r="A76" s="6">
        <v>3</v>
      </c>
      <c r="B76" s="87" t="s">
        <v>191</v>
      </c>
      <c r="C76" s="88" t="s">
        <v>192</v>
      </c>
      <c r="D76" s="89" t="s">
        <v>193</v>
      </c>
      <c r="E76" s="90">
        <v>2800</v>
      </c>
      <c r="F76" s="90"/>
      <c r="G76" s="90">
        <v>1960</v>
      </c>
      <c r="H76" s="90">
        <f>840-I76</f>
        <v>571.83899999999994</v>
      </c>
      <c r="I76" s="91">
        <v>268.16100000000006</v>
      </c>
      <c r="J76" s="92">
        <v>2788.1610000000001</v>
      </c>
      <c r="K76" s="92"/>
      <c r="L76" s="92">
        <v>2520</v>
      </c>
      <c r="M76" s="7"/>
      <c r="N76" s="92">
        <v>1960</v>
      </c>
      <c r="O76" s="92">
        <v>560</v>
      </c>
      <c r="P76" s="92">
        <v>0</v>
      </c>
      <c r="Q76" s="7"/>
      <c r="R76" s="7"/>
      <c r="S76" s="7"/>
      <c r="T76" s="7"/>
      <c r="U76" s="7"/>
      <c r="V76" s="127">
        <f t="shared" si="59"/>
        <v>268.16100000000006</v>
      </c>
      <c r="W76" s="127"/>
      <c r="X76" s="127"/>
      <c r="Y76" s="127"/>
      <c r="Z76" s="127">
        <v>268.16100000000006</v>
      </c>
      <c r="AA76" s="93"/>
      <c r="AB76" s="7"/>
      <c r="AC76" s="7"/>
      <c r="AD76" s="7"/>
      <c r="AE76" s="93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4"/>
      <c r="AR76" s="146">
        <f t="shared" si="51"/>
        <v>268.16100000000006</v>
      </c>
      <c r="AS76" s="146">
        <f t="shared" si="52"/>
        <v>0</v>
      </c>
    </row>
    <row r="77" spans="1:47" s="94" customFormat="1" ht="72.75" customHeight="1" x14ac:dyDescent="0.25">
      <c r="A77" s="6">
        <v>4</v>
      </c>
      <c r="B77" s="87" t="s">
        <v>194</v>
      </c>
      <c r="C77" s="88" t="s">
        <v>195</v>
      </c>
      <c r="D77" s="89" t="s">
        <v>196</v>
      </c>
      <c r="E77" s="90">
        <v>2080</v>
      </c>
      <c r="F77" s="90"/>
      <c r="G77" s="90">
        <v>1456</v>
      </c>
      <c r="H77" s="90">
        <f>624-I77</f>
        <v>457.61400000000003</v>
      </c>
      <c r="I77" s="91">
        <v>166.38599999999997</v>
      </c>
      <c r="J77" s="92">
        <v>2038.386</v>
      </c>
      <c r="K77" s="92"/>
      <c r="L77" s="92">
        <v>1872</v>
      </c>
      <c r="M77" s="7"/>
      <c r="N77" s="92">
        <v>1456</v>
      </c>
      <c r="O77" s="92">
        <v>416</v>
      </c>
      <c r="P77" s="92"/>
      <c r="Q77" s="7"/>
      <c r="R77" s="7"/>
      <c r="S77" s="7"/>
      <c r="T77" s="7"/>
      <c r="U77" s="7"/>
      <c r="V77" s="127">
        <f t="shared" si="59"/>
        <v>166.38599999999997</v>
      </c>
      <c r="W77" s="127"/>
      <c r="X77" s="127"/>
      <c r="Y77" s="127"/>
      <c r="Z77" s="127">
        <v>166.38599999999997</v>
      </c>
      <c r="AA77" s="93"/>
      <c r="AB77" s="7"/>
      <c r="AC77" s="7"/>
      <c r="AD77" s="7"/>
      <c r="AE77" s="93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4"/>
      <c r="AR77" s="146">
        <f t="shared" si="51"/>
        <v>166.38599999999997</v>
      </c>
      <c r="AS77" s="146">
        <f t="shared" si="52"/>
        <v>0</v>
      </c>
    </row>
    <row r="78" spans="1:47" s="94" customFormat="1" ht="72.75" customHeight="1" x14ac:dyDescent="0.25">
      <c r="A78" s="6">
        <v>5</v>
      </c>
      <c r="B78" s="87" t="s">
        <v>197</v>
      </c>
      <c r="C78" s="88" t="s">
        <v>198</v>
      </c>
      <c r="D78" s="89" t="s">
        <v>199</v>
      </c>
      <c r="E78" s="90">
        <v>1050</v>
      </c>
      <c r="F78" s="90"/>
      <c r="G78" s="90">
        <v>735</v>
      </c>
      <c r="H78" s="90">
        <f>315-I78</f>
        <v>254</v>
      </c>
      <c r="I78" s="91">
        <v>61</v>
      </c>
      <c r="J78" s="92">
        <v>1015.923</v>
      </c>
      <c r="K78" s="92"/>
      <c r="L78" s="92">
        <f>945+9.571+19.684</f>
        <v>974.255</v>
      </c>
      <c r="M78" s="7"/>
      <c r="N78" s="92">
        <v>735</v>
      </c>
      <c r="O78" s="92">
        <f>210</f>
        <v>210</v>
      </c>
      <c r="P78" s="92">
        <f>9.571+19.684</f>
        <v>29.255000000000003</v>
      </c>
      <c r="Q78" s="7"/>
      <c r="R78" s="7"/>
      <c r="S78" s="7"/>
      <c r="T78" s="7"/>
      <c r="U78" s="92">
        <f>19.684</f>
        <v>19.684000000000001</v>
      </c>
      <c r="V78" s="127">
        <f t="shared" si="59"/>
        <v>42</v>
      </c>
      <c r="W78" s="127"/>
      <c r="X78" s="127"/>
      <c r="Y78" s="127"/>
      <c r="Z78" s="127">
        <v>42</v>
      </c>
      <c r="AA78" s="93"/>
      <c r="AB78" s="7"/>
      <c r="AC78" s="7"/>
      <c r="AD78" s="7"/>
      <c r="AE78" s="93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4"/>
      <c r="AR78" s="146">
        <f t="shared" si="51"/>
        <v>41.668000000000006</v>
      </c>
      <c r="AS78" s="146">
        <f t="shared" si="52"/>
        <v>-0.33199999999999363</v>
      </c>
    </row>
    <row r="79" spans="1:47" s="94" customFormat="1" ht="72.75" customHeight="1" x14ac:dyDescent="0.25">
      <c r="A79" s="6">
        <v>6</v>
      </c>
      <c r="B79" s="87" t="s">
        <v>200</v>
      </c>
      <c r="C79" s="88" t="s">
        <v>201</v>
      </c>
      <c r="D79" s="89" t="s">
        <v>202</v>
      </c>
      <c r="E79" s="90">
        <v>840</v>
      </c>
      <c r="F79" s="90"/>
      <c r="G79" s="90">
        <v>420</v>
      </c>
      <c r="H79" s="90">
        <v>84</v>
      </c>
      <c r="I79" s="91">
        <v>336</v>
      </c>
      <c r="J79" s="92">
        <v>835.05100000000004</v>
      </c>
      <c r="K79" s="92"/>
      <c r="L79" s="92">
        <v>504</v>
      </c>
      <c r="M79" s="7"/>
      <c r="N79" s="92">
        <v>420</v>
      </c>
      <c r="O79" s="92">
        <v>84</v>
      </c>
      <c r="P79" s="92">
        <v>0</v>
      </c>
      <c r="Q79" s="7"/>
      <c r="R79" s="7"/>
      <c r="S79" s="7"/>
      <c r="T79" s="7"/>
      <c r="U79" s="7"/>
      <c r="V79" s="127">
        <f t="shared" si="59"/>
        <v>331.05100000000004</v>
      </c>
      <c r="W79" s="127"/>
      <c r="X79" s="127"/>
      <c r="Y79" s="127"/>
      <c r="Z79" s="127">
        <v>331.05100000000004</v>
      </c>
      <c r="AA79" s="93"/>
      <c r="AB79" s="7"/>
      <c r="AC79" s="7"/>
      <c r="AD79" s="7"/>
      <c r="AE79" s="93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4"/>
      <c r="AR79" s="146">
        <f t="shared" si="51"/>
        <v>331.05100000000004</v>
      </c>
      <c r="AS79" s="146">
        <f t="shared" si="52"/>
        <v>0</v>
      </c>
    </row>
    <row r="80" spans="1:47" s="94" customFormat="1" ht="72.75" customHeight="1" x14ac:dyDescent="0.25">
      <c r="A80" s="6">
        <v>7</v>
      </c>
      <c r="B80" s="87" t="s">
        <v>203</v>
      </c>
      <c r="C80" s="88" t="s">
        <v>204</v>
      </c>
      <c r="D80" s="89" t="s">
        <v>205</v>
      </c>
      <c r="E80" s="90">
        <v>700</v>
      </c>
      <c r="F80" s="90"/>
      <c r="G80" s="90">
        <v>350</v>
      </c>
      <c r="H80" s="90">
        <v>70</v>
      </c>
      <c r="I80" s="91">
        <v>280</v>
      </c>
      <c r="J80" s="92">
        <v>699.09100000000001</v>
      </c>
      <c r="K80" s="92"/>
      <c r="L80" s="92">
        <f>420+259.819</f>
        <v>679.81899999999996</v>
      </c>
      <c r="M80" s="7"/>
      <c r="N80" s="92">
        <v>350</v>
      </c>
      <c r="O80" s="92">
        <v>70</v>
      </c>
      <c r="P80" s="92">
        <v>259.81900000000002</v>
      </c>
      <c r="Q80" s="7"/>
      <c r="R80" s="7"/>
      <c r="S80" s="7"/>
      <c r="T80" s="7"/>
      <c r="U80" s="92">
        <v>259.81900000000002</v>
      </c>
      <c r="V80" s="127">
        <f t="shared" si="59"/>
        <v>19</v>
      </c>
      <c r="W80" s="127"/>
      <c r="X80" s="127"/>
      <c r="Y80" s="127"/>
      <c r="Z80" s="127">
        <v>19</v>
      </c>
      <c r="AA80" s="93"/>
      <c r="AB80" s="7"/>
      <c r="AC80" s="7"/>
      <c r="AD80" s="7"/>
      <c r="AE80" s="93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4"/>
      <c r="AR80" s="146">
        <f t="shared" si="51"/>
        <v>19.272000000000048</v>
      </c>
      <c r="AS80" s="146">
        <f t="shared" si="52"/>
        <v>0.2720000000000482</v>
      </c>
    </row>
    <row r="81" spans="1:45" s="94" customFormat="1" ht="72.75" customHeight="1" x14ac:dyDescent="0.25">
      <c r="A81" s="6">
        <v>8</v>
      </c>
      <c r="B81" s="87" t="s">
        <v>206</v>
      </c>
      <c r="C81" s="88" t="s">
        <v>207</v>
      </c>
      <c r="D81" s="89" t="s">
        <v>208</v>
      </c>
      <c r="E81" s="90">
        <v>450</v>
      </c>
      <c r="F81" s="90"/>
      <c r="G81" s="90">
        <v>225</v>
      </c>
      <c r="H81" s="90">
        <v>45</v>
      </c>
      <c r="I81" s="91">
        <v>180</v>
      </c>
      <c r="J81" s="92">
        <v>402.572</v>
      </c>
      <c r="K81" s="92"/>
      <c r="L81" s="92">
        <v>270</v>
      </c>
      <c r="M81" s="7"/>
      <c r="N81" s="92">
        <v>225</v>
      </c>
      <c r="O81" s="92">
        <v>45</v>
      </c>
      <c r="P81" s="92">
        <v>0</v>
      </c>
      <c r="Q81" s="7"/>
      <c r="R81" s="7"/>
      <c r="S81" s="7"/>
      <c r="T81" s="7"/>
      <c r="U81" s="7"/>
      <c r="V81" s="127">
        <f t="shared" si="59"/>
        <v>132.572</v>
      </c>
      <c r="W81" s="127"/>
      <c r="X81" s="127"/>
      <c r="Y81" s="127"/>
      <c r="Z81" s="127">
        <v>132.572</v>
      </c>
      <c r="AA81" s="93"/>
      <c r="AB81" s="7"/>
      <c r="AC81" s="7"/>
      <c r="AD81" s="7"/>
      <c r="AE81" s="93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4"/>
      <c r="AR81" s="146">
        <f t="shared" si="51"/>
        <v>132.572</v>
      </c>
      <c r="AS81" s="146">
        <f t="shared" si="52"/>
        <v>0</v>
      </c>
    </row>
    <row r="82" spans="1:45" s="94" customFormat="1" ht="72.75" customHeight="1" x14ac:dyDescent="0.25">
      <c r="A82" s="6">
        <v>9</v>
      </c>
      <c r="B82" s="87" t="s">
        <v>209</v>
      </c>
      <c r="C82" s="88" t="s">
        <v>210</v>
      </c>
      <c r="D82" s="89" t="s">
        <v>211</v>
      </c>
      <c r="E82" s="90">
        <v>960</v>
      </c>
      <c r="F82" s="90"/>
      <c r="G82" s="90">
        <v>480</v>
      </c>
      <c r="H82" s="90">
        <v>96</v>
      </c>
      <c r="I82" s="91">
        <v>384</v>
      </c>
      <c r="J82" s="92">
        <v>794.19500000000005</v>
      </c>
      <c r="K82" s="92"/>
      <c r="L82" s="92">
        <f>SUM(M82:P82)</f>
        <v>728.83199999999999</v>
      </c>
      <c r="M82" s="7"/>
      <c r="N82" s="92">
        <v>480</v>
      </c>
      <c r="O82" s="92">
        <v>96</v>
      </c>
      <c r="P82" s="92">
        <v>152.83199999999999</v>
      </c>
      <c r="Q82" s="7"/>
      <c r="R82" s="7"/>
      <c r="S82" s="7"/>
      <c r="T82" s="7"/>
      <c r="U82" s="92">
        <v>152.83199999999999</v>
      </c>
      <c r="V82" s="127">
        <f t="shared" si="59"/>
        <v>65.363</v>
      </c>
      <c r="W82" s="127"/>
      <c r="X82" s="127"/>
      <c r="Y82" s="127"/>
      <c r="Z82" s="127">
        <v>65.363</v>
      </c>
      <c r="AA82" s="93"/>
      <c r="AB82" s="7"/>
      <c r="AC82" s="7"/>
      <c r="AD82" s="7"/>
      <c r="AE82" s="93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4"/>
      <c r="AR82" s="146">
        <f t="shared" si="51"/>
        <v>65.363000000000056</v>
      </c>
      <c r="AS82" s="146">
        <f t="shared" si="52"/>
        <v>0</v>
      </c>
    </row>
    <row r="83" spans="1:45" s="94" customFormat="1" ht="72.75" customHeight="1" x14ac:dyDescent="0.25">
      <c r="A83" s="6">
        <v>10</v>
      </c>
      <c r="B83" s="87" t="s">
        <v>212</v>
      </c>
      <c r="C83" s="88" t="s">
        <v>213</v>
      </c>
      <c r="D83" s="89" t="s">
        <v>214</v>
      </c>
      <c r="E83" s="90">
        <v>960</v>
      </c>
      <c r="F83" s="90"/>
      <c r="G83" s="90">
        <v>480</v>
      </c>
      <c r="H83" s="90">
        <v>96</v>
      </c>
      <c r="I83" s="91">
        <v>384</v>
      </c>
      <c r="J83" s="92">
        <v>761.14</v>
      </c>
      <c r="K83" s="92"/>
      <c r="L83" s="92">
        <v>576</v>
      </c>
      <c r="M83" s="7"/>
      <c r="N83" s="92">
        <v>480</v>
      </c>
      <c r="O83" s="92">
        <v>96</v>
      </c>
      <c r="P83" s="92"/>
      <c r="Q83" s="7"/>
      <c r="R83" s="7"/>
      <c r="S83" s="7"/>
      <c r="T83" s="7"/>
      <c r="U83" s="7"/>
      <c r="V83" s="127">
        <f t="shared" si="59"/>
        <v>185.14</v>
      </c>
      <c r="W83" s="127"/>
      <c r="X83" s="127"/>
      <c r="Y83" s="127"/>
      <c r="Z83" s="127">
        <v>185.14</v>
      </c>
      <c r="AA83" s="93"/>
      <c r="AB83" s="7"/>
      <c r="AC83" s="7"/>
      <c r="AD83" s="7"/>
      <c r="AE83" s="93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4"/>
      <c r="AR83" s="146">
        <f t="shared" si="51"/>
        <v>185.14</v>
      </c>
      <c r="AS83" s="146">
        <f t="shared" si="52"/>
        <v>0</v>
      </c>
    </row>
    <row r="84" spans="1:45" s="94" customFormat="1" ht="72.75" customHeight="1" x14ac:dyDescent="0.25">
      <c r="A84" s="6">
        <v>11</v>
      </c>
      <c r="B84" s="87" t="s">
        <v>215</v>
      </c>
      <c r="C84" s="88" t="s">
        <v>216</v>
      </c>
      <c r="D84" s="89" t="s">
        <v>217</v>
      </c>
      <c r="E84" s="90">
        <v>1440</v>
      </c>
      <c r="F84" s="90"/>
      <c r="G84" s="90">
        <v>1152</v>
      </c>
      <c r="H84" s="90">
        <v>144</v>
      </c>
      <c r="I84" s="91">
        <v>144</v>
      </c>
      <c r="J84" s="92">
        <v>1392.6179999999999</v>
      </c>
      <c r="K84" s="92"/>
      <c r="L84" s="92">
        <f>SUM(M84:P84)</f>
        <v>1361.6569999999999</v>
      </c>
      <c r="M84" s="7"/>
      <c r="N84" s="92">
        <v>1152</v>
      </c>
      <c r="O84" s="92">
        <v>134.077</v>
      </c>
      <c r="P84" s="92">
        <f>9.923+65.657</f>
        <v>75.58</v>
      </c>
      <c r="Q84" s="7"/>
      <c r="R84" s="7"/>
      <c r="S84" s="7"/>
      <c r="T84" s="7"/>
      <c r="U84" s="92">
        <f>65.657</f>
        <v>65.656999999999996</v>
      </c>
      <c r="V84" s="127">
        <f t="shared" si="59"/>
        <v>30.960999999999899</v>
      </c>
      <c r="W84" s="128"/>
      <c r="X84" s="128"/>
      <c r="Y84" s="128"/>
      <c r="Z84" s="127">
        <v>30.960999999999899</v>
      </c>
      <c r="AA84" s="93"/>
      <c r="AB84" s="7"/>
      <c r="AC84" s="7"/>
      <c r="AD84" s="7"/>
      <c r="AE84" s="93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4"/>
      <c r="AR84" s="146">
        <f t="shared" si="51"/>
        <v>30.961000000000013</v>
      </c>
      <c r="AS84" s="146">
        <f t="shared" si="52"/>
        <v>1.1368683772161603E-13</v>
      </c>
    </row>
    <row r="85" spans="1:45" ht="72.75" customHeight="1" x14ac:dyDescent="0.25">
      <c r="A85" s="6">
        <v>12</v>
      </c>
      <c r="B85" s="87" t="s">
        <v>218</v>
      </c>
      <c r="C85" s="88" t="s">
        <v>219</v>
      </c>
      <c r="D85" s="89" t="s">
        <v>220</v>
      </c>
      <c r="E85" s="90">
        <v>840</v>
      </c>
      <c r="F85" s="90"/>
      <c r="G85" s="90">
        <v>672</v>
      </c>
      <c r="H85" s="90">
        <v>84</v>
      </c>
      <c r="I85" s="91">
        <v>84</v>
      </c>
      <c r="J85" s="92">
        <v>809.83799999999997</v>
      </c>
      <c r="K85" s="92"/>
      <c r="L85" s="92">
        <v>756</v>
      </c>
      <c r="M85" s="7"/>
      <c r="N85" s="92">
        <v>672</v>
      </c>
      <c r="O85" s="92">
        <v>84</v>
      </c>
      <c r="P85" s="92"/>
      <c r="Q85" s="7"/>
      <c r="R85" s="7"/>
      <c r="S85" s="7"/>
      <c r="T85" s="7"/>
      <c r="U85" s="7"/>
      <c r="V85" s="127">
        <f t="shared" si="59"/>
        <v>53.837999999999965</v>
      </c>
      <c r="W85" s="128"/>
      <c r="X85" s="128"/>
      <c r="Y85" s="128"/>
      <c r="Z85" s="127">
        <v>53.837999999999965</v>
      </c>
      <c r="AA85" s="93"/>
      <c r="AB85" s="7"/>
      <c r="AC85" s="7"/>
      <c r="AD85" s="7"/>
      <c r="AE85" s="93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4"/>
      <c r="AR85" s="146">
        <f t="shared" si="51"/>
        <v>53.837999999999965</v>
      </c>
      <c r="AS85" s="146">
        <f t="shared" si="52"/>
        <v>0</v>
      </c>
    </row>
    <row r="86" spans="1:45" ht="72.75" customHeight="1" x14ac:dyDescent="0.25">
      <c r="A86" s="6">
        <v>13</v>
      </c>
      <c r="B86" s="87" t="s">
        <v>221</v>
      </c>
      <c r="C86" s="88" t="s">
        <v>222</v>
      </c>
      <c r="D86" s="89" t="s">
        <v>223</v>
      </c>
      <c r="E86" s="90">
        <v>800</v>
      </c>
      <c r="F86" s="90"/>
      <c r="G86" s="90">
        <v>640</v>
      </c>
      <c r="H86" s="90">
        <v>80</v>
      </c>
      <c r="I86" s="91">
        <v>80</v>
      </c>
      <c r="J86" s="92">
        <v>766.77099999999996</v>
      </c>
      <c r="K86" s="92"/>
      <c r="L86" s="92">
        <v>720</v>
      </c>
      <c r="M86" s="7"/>
      <c r="N86" s="92">
        <v>640</v>
      </c>
      <c r="O86" s="92">
        <v>80</v>
      </c>
      <c r="P86" s="92"/>
      <c r="Q86" s="7"/>
      <c r="R86" s="7"/>
      <c r="S86" s="7"/>
      <c r="T86" s="7"/>
      <c r="U86" s="7"/>
      <c r="V86" s="127">
        <f t="shared" si="59"/>
        <v>46.770999999999958</v>
      </c>
      <c r="W86" s="128"/>
      <c r="X86" s="128"/>
      <c r="Y86" s="128"/>
      <c r="Z86" s="127">
        <v>46.770999999999958</v>
      </c>
      <c r="AA86" s="93"/>
      <c r="AB86" s="7"/>
      <c r="AC86" s="7"/>
      <c r="AD86" s="7"/>
      <c r="AE86" s="93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4"/>
      <c r="AR86" s="146">
        <f t="shared" si="51"/>
        <v>46.770999999999958</v>
      </c>
      <c r="AS86" s="146">
        <f t="shared" si="52"/>
        <v>0</v>
      </c>
    </row>
    <row r="87" spans="1:45" ht="72.75" customHeight="1" x14ac:dyDescent="0.25">
      <c r="A87" s="6">
        <v>14</v>
      </c>
      <c r="B87" s="87" t="s">
        <v>224</v>
      </c>
      <c r="C87" s="88" t="s">
        <v>225</v>
      </c>
      <c r="D87" s="89" t="s">
        <v>226</v>
      </c>
      <c r="E87" s="90">
        <v>1131</v>
      </c>
      <c r="F87" s="90"/>
      <c r="G87" s="90">
        <v>905</v>
      </c>
      <c r="H87" s="90">
        <v>113</v>
      </c>
      <c r="I87" s="91">
        <v>113</v>
      </c>
      <c r="J87" s="92">
        <v>1118.3620000000001</v>
      </c>
      <c r="K87" s="92"/>
      <c r="L87" s="92">
        <f>993.656+33.886+23.344+0.476</f>
        <v>1051.3620000000001</v>
      </c>
      <c r="M87" s="7"/>
      <c r="N87" s="92">
        <f>880.656+23.344</f>
        <v>904</v>
      </c>
      <c r="O87" s="92">
        <v>113</v>
      </c>
      <c r="P87" s="92">
        <f>33.886</f>
        <v>33.886000000000003</v>
      </c>
      <c r="Q87" s="7"/>
      <c r="R87" s="7"/>
      <c r="S87" s="7"/>
      <c r="T87" s="7"/>
      <c r="U87" s="7"/>
      <c r="V87" s="127">
        <f t="shared" si="59"/>
        <v>67</v>
      </c>
      <c r="W87" s="128"/>
      <c r="X87" s="128"/>
      <c r="Y87" s="128"/>
      <c r="Z87" s="127">
        <v>67</v>
      </c>
      <c r="AA87" s="93"/>
      <c r="AB87" s="7"/>
      <c r="AC87" s="7"/>
      <c r="AD87" s="7"/>
      <c r="AE87" s="93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4"/>
      <c r="AR87" s="146">
        <f t="shared" si="51"/>
        <v>67</v>
      </c>
      <c r="AS87" s="146">
        <f t="shared" si="52"/>
        <v>0</v>
      </c>
    </row>
    <row r="88" spans="1:45" ht="72.75" customHeight="1" x14ac:dyDescent="0.25">
      <c r="A88" s="6">
        <v>15</v>
      </c>
      <c r="B88" s="87" t="s">
        <v>227</v>
      </c>
      <c r="C88" s="88" t="s">
        <v>228</v>
      </c>
      <c r="D88" s="89" t="s">
        <v>229</v>
      </c>
      <c r="E88" s="90">
        <v>1066</v>
      </c>
      <c r="F88" s="90"/>
      <c r="G88" s="90">
        <v>853</v>
      </c>
      <c r="H88" s="90">
        <v>106.5</v>
      </c>
      <c r="I88" s="91">
        <v>106.5</v>
      </c>
      <c r="J88" s="92">
        <v>1029.69</v>
      </c>
      <c r="K88" s="92"/>
      <c r="L88" s="92">
        <v>959</v>
      </c>
      <c r="M88" s="7"/>
      <c r="N88" s="92">
        <v>852</v>
      </c>
      <c r="O88" s="92">
        <v>107</v>
      </c>
      <c r="P88" s="92"/>
      <c r="Q88" s="7"/>
      <c r="R88" s="7"/>
      <c r="S88" s="7"/>
      <c r="T88" s="7"/>
      <c r="U88" s="7"/>
      <c r="V88" s="127">
        <f t="shared" si="59"/>
        <v>70.690000000000055</v>
      </c>
      <c r="W88" s="128"/>
      <c r="X88" s="128"/>
      <c r="Y88" s="128"/>
      <c r="Z88" s="127">
        <v>70.690000000000055</v>
      </c>
      <c r="AA88" s="93"/>
      <c r="AB88" s="7"/>
      <c r="AC88" s="7"/>
      <c r="AD88" s="7"/>
      <c r="AE88" s="93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4"/>
      <c r="AR88" s="146">
        <f t="shared" si="51"/>
        <v>70.690000000000055</v>
      </c>
      <c r="AS88" s="146">
        <f t="shared" si="52"/>
        <v>0</v>
      </c>
    </row>
    <row r="89" spans="1:45" ht="72.75" customHeight="1" x14ac:dyDescent="0.25">
      <c r="A89" s="6">
        <v>16</v>
      </c>
      <c r="B89" s="87" t="s">
        <v>230</v>
      </c>
      <c r="C89" s="88" t="s">
        <v>231</v>
      </c>
      <c r="D89" s="89" t="s">
        <v>232</v>
      </c>
      <c r="E89" s="90">
        <v>1200</v>
      </c>
      <c r="F89" s="90"/>
      <c r="G89" s="90">
        <v>960</v>
      </c>
      <c r="H89" s="90">
        <v>120</v>
      </c>
      <c r="I89" s="91">
        <v>120</v>
      </c>
      <c r="J89" s="92">
        <v>1173.56</v>
      </c>
      <c r="K89" s="92"/>
      <c r="L89" s="92">
        <v>1080</v>
      </c>
      <c r="M89" s="7"/>
      <c r="N89" s="92">
        <v>960</v>
      </c>
      <c r="O89" s="92">
        <v>120</v>
      </c>
      <c r="P89" s="92"/>
      <c r="Q89" s="7"/>
      <c r="R89" s="7"/>
      <c r="S89" s="7"/>
      <c r="T89" s="7"/>
      <c r="U89" s="7"/>
      <c r="V89" s="127">
        <f t="shared" si="59"/>
        <v>94</v>
      </c>
      <c r="W89" s="128"/>
      <c r="X89" s="128"/>
      <c r="Y89" s="128"/>
      <c r="Z89" s="127">
        <v>94</v>
      </c>
      <c r="AA89" s="93"/>
      <c r="AB89" s="7"/>
      <c r="AC89" s="7"/>
      <c r="AD89" s="7"/>
      <c r="AE89" s="93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4"/>
      <c r="AR89" s="146">
        <f t="shared" si="51"/>
        <v>93.559999999999945</v>
      </c>
      <c r="AS89" s="146">
        <f t="shared" si="52"/>
        <v>-0.44000000000005457</v>
      </c>
    </row>
    <row r="90" spans="1:45" ht="72.75" customHeight="1" x14ac:dyDescent="0.25">
      <c r="A90" s="6">
        <v>17</v>
      </c>
      <c r="B90" s="87" t="s">
        <v>233</v>
      </c>
      <c r="C90" s="88" t="s">
        <v>234</v>
      </c>
      <c r="D90" s="89" t="s">
        <v>235</v>
      </c>
      <c r="E90" s="90">
        <v>1080</v>
      </c>
      <c r="F90" s="90"/>
      <c r="G90" s="90">
        <v>864</v>
      </c>
      <c r="H90" s="90">
        <v>108</v>
      </c>
      <c r="I90" s="91">
        <v>108</v>
      </c>
      <c r="J90" s="92">
        <v>1076.1500000000001</v>
      </c>
      <c r="K90" s="92"/>
      <c r="L90" s="92">
        <v>972</v>
      </c>
      <c r="M90" s="7"/>
      <c r="N90" s="92">
        <v>864</v>
      </c>
      <c r="O90" s="92">
        <v>108</v>
      </c>
      <c r="P90" s="92"/>
      <c r="Q90" s="7"/>
      <c r="R90" s="7"/>
      <c r="S90" s="7"/>
      <c r="T90" s="7"/>
      <c r="U90" s="7"/>
      <c r="V90" s="127">
        <f t="shared" si="59"/>
        <v>104.15000000000009</v>
      </c>
      <c r="W90" s="128"/>
      <c r="X90" s="128"/>
      <c r="Y90" s="128"/>
      <c r="Z90" s="127">
        <v>104.15000000000009</v>
      </c>
      <c r="AA90" s="93"/>
      <c r="AB90" s="7"/>
      <c r="AC90" s="7"/>
      <c r="AD90" s="7"/>
      <c r="AE90" s="93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4"/>
      <c r="AR90" s="146">
        <f t="shared" si="51"/>
        <v>104.15000000000009</v>
      </c>
      <c r="AS90" s="146">
        <f t="shared" si="52"/>
        <v>0</v>
      </c>
    </row>
    <row r="91" spans="1:45" ht="72.75" customHeight="1" x14ac:dyDescent="0.25">
      <c r="A91" s="6">
        <v>18</v>
      </c>
      <c r="B91" s="87" t="s">
        <v>236</v>
      </c>
      <c r="C91" s="88" t="s">
        <v>237</v>
      </c>
      <c r="D91" s="95" t="s">
        <v>238</v>
      </c>
      <c r="E91" s="90">
        <v>1620</v>
      </c>
      <c r="F91" s="90"/>
      <c r="G91" s="90">
        <v>1296</v>
      </c>
      <c r="H91" s="90">
        <v>162</v>
      </c>
      <c r="I91" s="91">
        <v>162</v>
      </c>
      <c r="J91" s="92">
        <v>1568.2</v>
      </c>
      <c r="K91" s="96"/>
      <c r="L91" s="92">
        <v>1458</v>
      </c>
      <c r="M91" s="7"/>
      <c r="N91" s="92">
        <v>1296</v>
      </c>
      <c r="O91" s="92">
        <v>162</v>
      </c>
      <c r="P91" s="92"/>
      <c r="Q91" s="7"/>
      <c r="R91" s="7"/>
      <c r="S91" s="7"/>
      <c r="T91" s="7"/>
      <c r="U91" s="7"/>
      <c r="V91" s="127">
        <f t="shared" si="59"/>
        <v>110.20000000000005</v>
      </c>
      <c r="W91" s="128"/>
      <c r="X91" s="128"/>
      <c r="Y91" s="128"/>
      <c r="Z91" s="127">
        <v>110.20000000000005</v>
      </c>
      <c r="AA91" s="93"/>
      <c r="AB91" s="7"/>
      <c r="AC91" s="7"/>
      <c r="AD91" s="7"/>
      <c r="AE91" s="93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4"/>
      <c r="AR91" s="146">
        <f t="shared" si="51"/>
        <v>110.20000000000005</v>
      </c>
      <c r="AS91" s="146">
        <f t="shared" si="52"/>
        <v>0</v>
      </c>
    </row>
    <row r="92" spans="1:45" ht="72.75" customHeight="1" x14ac:dyDescent="0.25">
      <c r="A92" s="6">
        <v>19</v>
      </c>
      <c r="B92" s="87" t="s">
        <v>239</v>
      </c>
      <c r="C92" s="88" t="s">
        <v>240</v>
      </c>
      <c r="D92" s="95" t="s">
        <v>241</v>
      </c>
      <c r="E92" s="90">
        <v>659.952</v>
      </c>
      <c r="F92" s="90"/>
      <c r="G92" s="90">
        <v>528</v>
      </c>
      <c r="H92" s="90">
        <v>66</v>
      </c>
      <c r="I92" s="91">
        <v>66</v>
      </c>
      <c r="J92" s="92">
        <v>658.79899999999998</v>
      </c>
      <c r="K92" s="96"/>
      <c r="L92" s="92">
        <v>594</v>
      </c>
      <c r="M92" s="7"/>
      <c r="N92" s="92">
        <v>528</v>
      </c>
      <c r="O92" s="92">
        <v>66</v>
      </c>
      <c r="P92" s="92"/>
      <c r="Q92" s="7"/>
      <c r="R92" s="7"/>
      <c r="S92" s="7"/>
      <c r="T92" s="7"/>
      <c r="U92" s="7"/>
      <c r="V92" s="127">
        <f t="shared" si="59"/>
        <v>64.798999999999978</v>
      </c>
      <c r="W92" s="128"/>
      <c r="X92" s="128"/>
      <c r="Y92" s="128"/>
      <c r="Z92" s="127">
        <v>64.798999999999978</v>
      </c>
      <c r="AA92" s="93"/>
      <c r="AB92" s="7"/>
      <c r="AC92" s="7"/>
      <c r="AD92" s="7"/>
      <c r="AE92" s="93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4"/>
      <c r="AR92" s="146">
        <f t="shared" si="51"/>
        <v>64.798999999999978</v>
      </c>
      <c r="AS92" s="146">
        <f t="shared" si="52"/>
        <v>0</v>
      </c>
    </row>
    <row r="93" spans="1:45" ht="72.75" customHeight="1" x14ac:dyDescent="0.25">
      <c r="A93" s="6">
        <v>20</v>
      </c>
      <c r="B93" s="87" t="s">
        <v>242</v>
      </c>
      <c r="C93" s="88" t="s">
        <v>243</v>
      </c>
      <c r="D93" s="95" t="s">
        <v>244</v>
      </c>
      <c r="E93" s="90">
        <v>792</v>
      </c>
      <c r="F93" s="90"/>
      <c r="G93" s="90">
        <v>634</v>
      </c>
      <c r="H93" s="90">
        <v>79</v>
      </c>
      <c r="I93" s="91">
        <v>79</v>
      </c>
      <c r="J93" s="92">
        <v>761.31399999999996</v>
      </c>
      <c r="K93" s="96"/>
      <c r="L93" s="92">
        <f>711.544+1.79</f>
        <v>713.33399999999995</v>
      </c>
      <c r="M93" s="7"/>
      <c r="N93" s="92">
        <v>632.54399999999998</v>
      </c>
      <c r="O93" s="92">
        <v>79</v>
      </c>
      <c r="P93" s="92">
        <v>1.79</v>
      </c>
      <c r="Q93" s="7"/>
      <c r="R93" s="7"/>
      <c r="S93" s="7"/>
      <c r="T93" s="7"/>
      <c r="U93" s="7"/>
      <c r="V93" s="127">
        <f t="shared" si="59"/>
        <v>47.98</v>
      </c>
      <c r="W93" s="128"/>
      <c r="X93" s="128"/>
      <c r="Y93" s="128"/>
      <c r="Z93" s="127">
        <v>47.98</v>
      </c>
      <c r="AA93" s="93"/>
      <c r="AB93" s="7"/>
      <c r="AC93" s="7"/>
      <c r="AD93" s="7"/>
      <c r="AE93" s="93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4"/>
      <c r="AR93" s="146">
        <f t="shared" si="51"/>
        <v>47.980000000000018</v>
      </c>
      <c r="AS93" s="146">
        <f t="shared" si="52"/>
        <v>0</v>
      </c>
    </row>
    <row r="94" spans="1:45" ht="72.75" customHeight="1" x14ac:dyDescent="0.25">
      <c r="A94" s="6">
        <v>21</v>
      </c>
      <c r="B94" s="87" t="s">
        <v>245</v>
      </c>
      <c r="C94" s="88" t="s">
        <v>246</v>
      </c>
      <c r="D94" s="95" t="s">
        <v>247</v>
      </c>
      <c r="E94" s="90">
        <v>780</v>
      </c>
      <c r="F94" s="90"/>
      <c r="G94" s="90">
        <v>624</v>
      </c>
      <c r="H94" s="90">
        <v>78</v>
      </c>
      <c r="I94" s="91">
        <v>78</v>
      </c>
      <c r="J94" s="92">
        <v>771.45600000000002</v>
      </c>
      <c r="K94" s="96"/>
      <c r="L94" s="92">
        <v>702</v>
      </c>
      <c r="M94" s="7"/>
      <c r="N94" s="92">
        <v>624</v>
      </c>
      <c r="O94" s="92">
        <v>78</v>
      </c>
      <c r="P94" s="92">
        <v>0</v>
      </c>
      <c r="Q94" s="7"/>
      <c r="R94" s="7"/>
      <c r="S94" s="7"/>
      <c r="T94" s="7"/>
      <c r="U94" s="7"/>
      <c r="V94" s="127">
        <f t="shared" si="59"/>
        <v>69.456000000000003</v>
      </c>
      <c r="W94" s="128"/>
      <c r="X94" s="128"/>
      <c r="Y94" s="128"/>
      <c r="Z94" s="127">
        <v>69.456000000000003</v>
      </c>
      <c r="AA94" s="93"/>
      <c r="AB94" s="7"/>
      <c r="AC94" s="7"/>
      <c r="AD94" s="7"/>
      <c r="AE94" s="93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4"/>
      <c r="AR94" s="146">
        <f t="shared" si="51"/>
        <v>69.456000000000017</v>
      </c>
      <c r="AS94" s="146">
        <f t="shared" si="52"/>
        <v>0</v>
      </c>
    </row>
    <row r="95" spans="1:45" ht="72.75" customHeight="1" x14ac:dyDescent="0.25">
      <c r="A95" s="6">
        <v>22</v>
      </c>
      <c r="B95" s="87" t="s">
        <v>248</v>
      </c>
      <c r="C95" s="88" t="s">
        <v>249</v>
      </c>
      <c r="D95" s="89" t="s">
        <v>250</v>
      </c>
      <c r="E95" s="90">
        <v>1000</v>
      </c>
      <c r="F95" s="90"/>
      <c r="G95" s="90">
        <v>700</v>
      </c>
      <c r="H95" s="90">
        <v>100</v>
      </c>
      <c r="I95" s="91">
        <v>200</v>
      </c>
      <c r="J95" s="92">
        <v>984.06899999999996</v>
      </c>
      <c r="K95" s="92"/>
      <c r="L95" s="92">
        <v>800</v>
      </c>
      <c r="M95" s="7"/>
      <c r="N95" s="92">
        <v>700</v>
      </c>
      <c r="O95" s="92">
        <v>100</v>
      </c>
      <c r="P95" s="92"/>
      <c r="Q95" s="7"/>
      <c r="R95" s="7"/>
      <c r="S95" s="7"/>
      <c r="T95" s="7"/>
      <c r="U95" s="7"/>
      <c r="V95" s="127">
        <f t="shared" si="59"/>
        <v>184.06899999999999</v>
      </c>
      <c r="W95" s="128"/>
      <c r="X95" s="128"/>
      <c r="Y95" s="128"/>
      <c r="Z95" s="127">
        <v>184.06899999999999</v>
      </c>
      <c r="AA95" s="93"/>
      <c r="AB95" s="7"/>
      <c r="AC95" s="7"/>
      <c r="AD95" s="7"/>
      <c r="AE95" s="93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4"/>
      <c r="AR95" s="146">
        <f t="shared" si="51"/>
        <v>184.06899999999996</v>
      </c>
      <c r="AS95" s="146">
        <f t="shared" si="52"/>
        <v>0</v>
      </c>
    </row>
    <row r="96" spans="1:45" ht="72.75" customHeight="1" x14ac:dyDescent="0.25">
      <c r="A96" s="6">
        <v>23</v>
      </c>
      <c r="B96" s="87" t="s">
        <v>251</v>
      </c>
      <c r="C96" s="88" t="s">
        <v>252</v>
      </c>
      <c r="D96" s="95" t="s">
        <v>253</v>
      </c>
      <c r="E96" s="90">
        <v>800</v>
      </c>
      <c r="F96" s="90"/>
      <c r="G96" s="90">
        <v>480</v>
      </c>
      <c r="H96" s="90">
        <v>0</v>
      </c>
      <c r="I96" s="91">
        <v>320</v>
      </c>
      <c r="J96" s="92">
        <v>792.84799999999996</v>
      </c>
      <c r="K96" s="92"/>
      <c r="L96" s="92">
        <f>480+289.497</f>
        <v>769.49700000000007</v>
      </c>
      <c r="M96" s="7"/>
      <c r="N96" s="92">
        <v>480</v>
      </c>
      <c r="O96" s="92"/>
      <c r="P96" s="92">
        <v>289.49700000000001</v>
      </c>
      <c r="Q96" s="7"/>
      <c r="R96" s="7"/>
      <c r="S96" s="7"/>
      <c r="T96" s="7"/>
      <c r="U96" s="92">
        <v>289.49700000000001</v>
      </c>
      <c r="V96" s="127">
        <f t="shared" si="59"/>
        <v>23</v>
      </c>
      <c r="W96" s="128"/>
      <c r="X96" s="128"/>
      <c r="Y96" s="128"/>
      <c r="Z96" s="127">
        <v>23</v>
      </c>
      <c r="AA96" s="93"/>
      <c r="AB96" s="7"/>
      <c r="AC96" s="7"/>
      <c r="AD96" s="7"/>
      <c r="AE96" s="93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4"/>
      <c r="AR96" s="146">
        <f t="shared" si="51"/>
        <v>23.350999999999885</v>
      </c>
      <c r="AS96" s="146">
        <f t="shared" si="52"/>
        <v>0.3509999999998854</v>
      </c>
    </row>
    <row r="97" spans="1:45" ht="72.75" customHeight="1" x14ac:dyDescent="0.25">
      <c r="A97" s="6">
        <v>24</v>
      </c>
      <c r="B97" s="87" t="s">
        <v>254</v>
      </c>
      <c r="C97" s="88" t="s">
        <v>255</v>
      </c>
      <c r="D97" s="95" t="s">
        <v>256</v>
      </c>
      <c r="E97" s="90">
        <v>800</v>
      </c>
      <c r="F97" s="90"/>
      <c r="G97" s="90">
        <v>480</v>
      </c>
      <c r="H97" s="90">
        <v>0</v>
      </c>
      <c r="I97" s="91">
        <v>320</v>
      </c>
      <c r="J97" s="92">
        <v>798.38900000000001</v>
      </c>
      <c r="K97" s="92"/>
      <c r="L97" s="92">
        <f>480+44.586</f>
        <v>524.58600000000001</v>
      </c>
      <c r="M97" s="7"/>
      <c r="N97" s="92">
        <f>M97</f>
        <v>0</v>
      </c>
      <c r="O97" s="92"/>
      <c r="P97" s="92">
        <v>44.585999999999999</v>
      </c>
      <c r="Q97" s="7"/>
      <c r="R97" s="7"/>
      <c r="S97" s="7"/>
      <c r="T97" s="7"/>
      <c r="U97" s="7"/>
      <c r="V97" s="127">
        <f t="shared" si="59"/>
        <v>273.803</v>
      </c>
      <c r="W97" s="128"/>
      <c r="X97" s="128"/>
      <c r="Y97" s="128"/>
      <c r="Z97" s="127">
        <v>273.803</v>
      </c>
      <c r="AA97" s="93"/>
      <c r="AB97" s="7"/>
      <c r="AC97" s="7"/>
      <c r="AD97" s="7"/>
      <c r="AE97" s="93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5"/>
      <c r="AR97" s="146">
        <f t="shared" si="51"/>
        <v>273.803</v>
      </c>
      <c r="AS97" s="146">
        <f t="shared" si="52"/>
        <v>0</v>
      </c>
    </row>
    <row r="98" spans="1:45" s="97" customFormat="1" ht="24.6" customHeight="1" x14ac:dyDescent="0.25">
      <c r="A98" s="33" t="s">
        <v>183</v>
      </c>
      <c r="B98" s="34" t="s">
        <v>257</v>
      </c>
      <c r="C98" s="10"/>
      <c r="D98" s="10"/>
      <c r="E98" s="8">
        <f t="shared" ref="E98:Z98" si="60">SUM(E99:E122)</f>
        <v>20402.861999999997</v>
      </c>
      <c r="F98" s="8">
        <f t="shared" si="60"/>
        <v>0</v>
      </c>
      <c r="G98" s="8">
        <f t="shared" si="60"/>
        <v>12638</v>
      </c>
      <c r="H98" s="8">
        <f t="shared" si="60"/>
        <v>4619</v>
      </c>
      <c r="I98" s="8">
        <f t="shared" si="60"/>
        <v>3145.8620000000001</v>
      </c>
      <c r="J98" s="8">
        <f t="shared" si="60"/>
        <v>20117.706000000002</v>
      </c>
      <c r="K98" s="8">
        <f t="shared" si="60"/>
        <v>0</v>
      </c>
      <c r="L98" s="8">
        <f t="shared" si="60"/>
        <v>18853.181999999997</v>
      </c>
      <c r="M98" s="8">
        <f t="shared" si="60"/>
        <v>0</v>
      </c>
      <c r="N98" s="8">
        <f t="shared" si="60"/>
        <v>12638</v>
      </c>
      <c r="O98" s="8">
        <f t="shared" si="60"/>
        <v>4618.1459999999997</v>
      </c>
      <c r="P98" s="8">
        <f t="shared" si="60"/>
        <v>1597.0360000000001</v>
      </c>
      <c r="Q98" s="8">
        <f t="shared" si="60"/>
        <v>1546.8890000000001</v>
      </c>
      <c r="R98" s="8">
        <f t="shared" si="60"/>
        <v>0</v>
      </c>
      <c r="S98" s="8">
        <f t="shared" si="60"/>
        <v>0</v>
      </c>
      <c r="T98" s="8">
        <f t="shared" si="60"/>
        <v>0</v>
      </c>
      <c r="U98" s="8">
        <f t="shared" si="60"/>
        <v>1546.8890000000001</v>
      </c>
      <c r="V98" s="153">
        <f t="shared" si="60"/>
        <v>1265.1620430000003</v>
      </c>
      <c r="W98" s="153">
        <f t="shared" si="60"/>
        <v>0</v>
      </c>
      <c r="X98" s="153">
        <f t="shared" si="60"/>
        <v>0</v>
      </c>
      <c r="Y98" s="153">
        <f t="shared" si="60"/>
        <v>0</v>
      </c>
      <c r="Z98" s="153">
        <f t="shared" si="60"/>
        <v>1265.1620430000003</v>
      </c>
      <c r="AA98" s="8"/>
      <c r="AB98" s="8"/>
      <c r="AC98" s="8"/>
      <c r="AD98" s="8"/>
      <c r="AE98" s="8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9"/>
      <c r="AR98" s="146">
        <f t="shared" si="51"/>
        <v>1264.5240000000049</v>
      </c>
      <c r="AS98" s="146">
        <f t="shared" si="52"/>
        <v>-0.63804299999537761</v>
      </c>
    </row>
    <row r="99" spans="1:45" s="37" customFormat="1" ht="48.6" customHeight="1" x14ac:dyDescent="0.25">
      <c r="A99" s="35">
        <v>1</v>
      </c>
      <c r="B99" s="135" t="s">
        <v>258</v>
      </c>
      <c r="C99" s="136"/>
      <c r="D99" s="35"/>
      <c r="E99" s="38">
        <f>F99+G99+H99+I99</f>
        <v>1000</v>
      </c>
      <c r="F99" s="38"/>
      <c r="G99" s="38">
        <v>700</v>
      </c>
      <c r="H99" s="38">
        <v>200</v>
      </c>
      <c r="I99" s="38">
        <v>100</v>
      </c>
      <c r="J99" s="38">
        <v>923</v>
      </c>
      <c r="K99" s="38"/>
      <c r="L99" s="38">
        <f>M99+N99+O99+P99</f>
        <v>923</v>
      </c>
      <c r="M99" s="38"/>
      <c r="N99" s="38">
        <v>700</v>
      </c>
      <c r="O99" s="38">
        <v>200</v>
      </c>
      <c r="P99" s="38">
        <f>U99</f>
        <v>23</v>
      </c>
      <c r="Q99" s="38">
        <f>SUM(R99:U99)</f>
        <v>23</v>
      </c>
      <c r="R99" s="38"/>
      <c r="S99" s="38"/>
      <c r="T99" s="38"/>
      <c r="U99" s="38">
        <v>23</v>
      </c>
      <c r="V99" s="48">
        <f>SUM(W99:Z99)</f>
        <v>0</v>
      </c>
      <c r="W99" s="48"/>
      <c r="X99" s="48"/>
      <c r="Y99" s="48"/>
      <c r="Z99" s="48">
        <v>0</v>
      </c>
      <c r="AA99" s="38"/>
      <c r="AB99" s="38"/>
      <c r="AC99" s="38"/>
      <c r="AD99" s="38"/>
      <c r="AE99" s="38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6" t="s">
        <v>173</v>
      </c>
      <c r="AR99" s="146">
        <f t="shared" si="51"/>
        <v>0</v>
      </c>
      <c r="AS99" s="146">
        <f t="shared" si="52"/>
        <v>0</v>
      </c>
    </row>
    <row r="100" spans="1:45" s="37" customFormat="1" ht="37.799999999999997" customHeight="1" x14ac:dyDescent="0.25">
      <c r="A100" s="35">
        <v>2</v>
      </c>
      <c r="B100" s="137" t="s">
        <v>259</v>
      </c>
      <c r="C100" s="138" t="s">
        <v>260</v>
      </c>
      <c r="D100" s="35" t="s">
        <v>261</v>
      </c>
      <c r="E100" s="38">
        <f>F100+G100+H100+I100</f>
        <v>1113</v>
      </c>
      <c r="F100" s="38"/>
      <c r="G100" s="38">
        <v>779</v>
      </c>
      <c r="H100" s="38">
        <v>223</v>
      </c>
      <c r="I100" s="38">
        <v>111</v>
      </c>
      <c r="J100" s="38">
        <v>1109.3620000000001</v>
      </c>
      <c r="K100" s="38"/>
      <c r="L100" s="38">
        <f>M100+N100+O100+P100</f>
        <v>1002</v>
      </c>
      <c r="M100" s="38"/>
      <c r="N100" s="38">
        <v>779</v>
      </c>
      <c r="O100" s="38">
        <v>223</v>
      </c>
      <c r="P100" s="38"/>
      <c r="Q100" s="38">
        <f t="shared" ref="Q100:Q122" si="61">SUM(R100:U100)</f>
        <v>0</v>
      </c>
      <c r="R100" s="38"/>
      <c r="S100" s="38"/>
      <c r="T100" s="38"/>
      <c r="U100" s="38"/>
      <c r="V100" s="48">
        <f t="shared" ref="V100:V122" si="62">SUM(W100:Z100)</f>
        <v>108</v>
      </c>
      <c r="W100" s="48"/>
      <c r="X100" s="48"/>
      <c r="Y100" s="48"/>
      <c r="Z100" s="48">
        <v>108</v>
      </c>
      <c r="AA100" s="38"/>
      <c r="AB100" s="38"/>
      <c r="AC100" s="38"/>
      <c r="AD100" s="38"/>
      <c r="AE100" s="38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7"/>
      <c r="AR100" s="146">
        <f t="shared" si="51"/>
        <v>107.36200000000008</v>
      </c>
      <c r="AS100" s="146">
        <f t="shared" si="52"/>
        <v>-0.63799999999991996</v>
      </c>
    </row>
    <row r="101" spans="1:45" s="37" customFormat="1" ht="51.6" customHeight="1" x14ac:dyDescent="0.25">
      <c r="A101" s="35">
        <v>3</v>
      </c>
      <c r="B101" s="137" t="s">
        <v>262</v>
      </c>
      <c r="C101" s="138" t="s">
        <v>263</v>
      </c>
      <c r="D101" s="35" t="s">
        <v>264</v>
      </c>
      <c r="E101" s="38">
        <f t="shared" ref="E101:E118" si="63">F101+G101+H101+I101</f>
        <v>682</v>
      </c>
      <c r="F101" s="38"/>
      <c r="G101" s="38">
        <v>459</v>
      </c>
      <c r="H101" s="38">
        <v>131</v>
      </c>
      <c r="I101" s="38">
        <v>92</v>
      </c>
      <c r="J101" s="38">
        <v>680.20699999999999</v>
      </c>
      <c r="K101" s="38"/>
      <c r="L101" s="38">
        <f t="shared" ref="L101:L118" si="64">M101+N101+O101+P101</f>
        <v>590</v>
      </c>
      <c r="M101" s="38"/>
      <c r="N101" s="38">
        <v>459</v>
      </c>
      <c r="O101" s="38">
        <v>131</v>
      </c>
      <c r="P101" s="38"/>
      <c r="Q101" s="38">
        <f t="shared" si="61"/>
        <v>0</v>
      </c>
      <c r="R101" s="38"/>
      <c r="S101" s="38"/>
      <c r="T101" s="38"/>
      <c r="U101" s="38"/>
      <c r="V101" s="48">
        <f t="shared" si="62"/>
        <v>90.206999999999994</v>
      </c>
      <c r="W101" s="48"/>
      <c r="X101" s="48"/>
      <c r="Y101" s="48"/>
      <c r="Z101" s="48">
        <v>90.206999999999994</v>
      </c>
      <c r="AA101" s="38"/>
      <c r="AB101" s="38"/>
      <c r="AC101" s="38"/>
      <c r="AD101" s="38"/>
      <c r="AE101" s="38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7"/>
      <c r="AR101" s="146">
        <f t="shared" si="51"/>
        <v>90.206999999999994</v>
      </c>
      <c r="AS101" s="146">
        <f t="shared" si="52"/>
        <v>0</v>
      </c>
    </row>
    <row r="102" spans="1:45" s="37" customFormat="1" ht="60.6" customHeight="1" x14ac:dyDescent="0.25">
      <c r="A102" s="35">
        <v>4</v>
      </c>
      <c r="B102" s="135" t="s">
        <v>265</v>
      </c>
      <c r="C102" s="138" t="s">
        <v>266</v>
      </c>
      <c r="D102" s="139" t="s">
        <v>267</v>
      </c>
      <c r="E102" s="38">
        <f t="shared" si="63"/>
        <v>1116</v>
      </c>
      <c r="F102" s="38"/>
      <c r="G102" s="38">
        <v>777</v>
      </c>
      <c r="H102" s="38">
        <v>222</v>
      </c>
      <c r="I102" s="38">
        <v>117</v>
      </c>
      <c r="J102" s="38">
        <v>1114</v>
      </c>
      <c r="K102" s="38"/>
      <c r="L102" s="38">
        <f t="shared" si="64"/>
        <v>1114</v>
      </c>
      <c r="M102" s="38"/>
      <c r="N102" s="38">
        <v>777</v>
      </c>
      <c r="O102" s="38">
        <v>222</v>
      </c>
      <c r="P102" s="38">
        <f>U102</f>
        <v>115</v>
      </c>
      <c r="Q102" s="38">
        <f t="shared" si="61"/>
        <v>115</v>
      </c>
      <c r="R102" s="38"/>
      <c r="S102" s="38"/>
      <c r="T102" s="38"/>
      <c r="U102" s="38">
        <v>115</v>
      </c>
      <c r="V102" s="48">
        <f t="shared" si="62"/>
        <v>0</v>
      </c>
      <c r="W102" s="48"/>
      <c r="X102" s="48"/>
      <c r="Y102" s="48"/>
      <c r="Z102" s="48"/>
      <c r="AA102" s="38"/>
      <c r="AB102" s="38"/>
      <c r="AC102" s="38"/>
      <c r="AD102" s="38"/>
      <c r="AE102" s="38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7"/>
      <c r="AR102" s="146">
        <f t="shared" si="51"/>
        <v>0</v>
      </c>
      <c r="AS102" s="146">
        <f t="shared" si="52"/>
        <v>0</v>
      </c>
    </row>
    <row r="103" spans="1:45" s="37" customFormat="1" ht="82.8" customHeight="1" x14ac:dyDescent="0.25">
      <c r="A103" s="35">
        <v>6</v>
      </c>
      <c r="B103" s="135" t="s">
        <v>268</v>
      </c>
      <c r="C103" s="138" t="s">
        <v>269</v>
      </c>
      <c r="D103" s="139" t="s">
        <v>270</v>
      </c>
      <c r="E103" s="38">
        <f t="shared" si="63"/>
        <v>1100</v>
      </c>
      <c r="F103" s="38"/>
      <c r="G103" s="38">
        <v>770</v>
      </c>
      <c r="H103" s="38">
        <v>220</v>
      </c>
      <c r="I103" s="38">
        <v>110</v>
      </c>
      <c r="J103" s="38">
        <v>1098</v>
      </c>
      <c r="K103" s="38"/>
      <c r="L103" s="38">
        <f t="shared" si="64"/>
        <v>1098</v>
      </c>
      <c r="M103" s="38"/>
      <c r="N103" s="38">
        <v>770</v>
      </c>
      <c r="O103" s="38">
        <v>220</v>
      </c>
      <c r="P103" s="38">
        <f>U103</f>
        <v>108</v>
      </c>
      <c r="Q103" s="38">
        <f t="shared" si="61"/>
        <v>108</v>
      </c>
      <c r="R103" s="38"/>
      <c r="S103" s="38"/>
      <c r="T103" s="38"/>
      <c r="U103" s="38">
        <v>108</v>
      </c>
      <c r="V103" s="48">
        <f t="shared" si="62"/>
        <v>0</v>
      </c>
      <c r="W103" s="48"/>
      <c r="X103" s="48"/>
      <c r="Y103" s="48"/>
      <c r="Z103" s="48"/>
      <c r="AA103" s="38"/>
      <c r="AB103" s="38"/>
      <c r="AC103" s="38"/>
      <c r="AD103" s="38"/>
      <c r="AE103" s="38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7"/>
      <c r="AR103" s="146">
        <f t="shared" si="51"/>
        <v>0</v>
      </c>
      <c r="AS103" s="146">
        <f t="shared" si="52"/>
        <v>0</v>
      </c>
    </row>
    <row r="104" spans="1:45" s="37" customFormat="1" ht="81" customHeight="1" x14ac:dyDescent="0.25">
      <c r="A104" s="35">
        <v>7</v>
      </c>
      <c r="B104" s="135" t="s">
        <v>271</v>
      </c>
      <c r="C104" s="138" t="s">
        <v>272</v>
      </c>
      <c r="D104" s="139" t="s">
        <v>273</v>
      </c>
      <c r="E104" s="38">
        <f t="shared" si="63"/>
        <v>1080</v>
      </c>
      <c r="F104" s="38"/>
      <c r="G104" s="38">
        <v>756</v>
      </c>
      <c r="H104" s="38">
        <v>216</v>
      </c>
      <c r="I104" s="38">
        <v>108</v>
      </c>
      <c r="J104" s="38">
        <v>1067</v>
      </c>
      <c r="K104" s="38"/>
      <c r="L104" s="38">
        <f t="shared" si="64"/>
        <v>1067</v>
      </c>
      <c r="M104" s="38"/>
      <c r="N104" s="38">
        <v>756</v>
      </c>
      <c r="O104" s="38">
        <v>216</v>
      </c>
      <c r="P104" s="38">
        <f t="shared" ref="P104:P105" si="65">U104</f>
        <v>95</v>
      </c>
      <c r="Q104" s="38">
        <f t="shared" si="61"/>
        <v>95</v>
      </c>
      <c r="R104" s="38"/>
      <c r="S104" s="38"/>
      <c r="T104" s="38"/>
      <c r="U104" s="38">
        <v>95</v>
      </c>
      <c r="V104" s="48">
        <f t="shared" si="62"/>
        <v>0</v>
      </c>
      <c r="W104" s="48"/>
      <c r="X104" s="48"/>
      <c r="Y104" s="48"/>
      <c r="Z104" s="48"/>
      <c r="AA104" s="38"/>
      <c r="AB104" s="38"/>
      <c r="AC104" s="38"/>
      <c r="AD104" s="38"/>
      <c r="AE104" s="38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7"/>
      <c r="AR104" s="146">
        <f t="shared" ref="AR104:AR135" si="66">J104-L104</f>
        <v>0</v>
      </c>
      <c r="AS104" s="146">
        <f t="shared" ref="AS104:AS135" si="67">AR104-Z104</f>
        <v>0</v>
      </c>
    </row>
    <row r="105" spans="1:45" s="37" customFormat="1" ht="62.4" customHeight="1" x14ac:dyDescent="0.25">
      <c r="A105" s="35">
        <v>8</v>
      </c>
      <c r="B105" s="135" t="s">
        <v>274</v>
      </c>
      <c r="C105" s="138" t="s">
        <v>275</v>
      </c>
      <c r="D105" s="139" t="s">
        <v>276</v>
      </c>
      <c r="E105" s="38">
        <f t="shared" si="63"/>
        <v>1040</v>
      </c>
      <c r="F105" s="38"/>
      <c r="G105" s="38">
        <v>728</v>
      </c>
      <c r="H105" s="38">
        <v>208</v>
      </c>
      <c r="I105" s="38">
        <v>104</v>
      </c>
      <c r="J105" s="38">
        <v>1027</v>
      </c>
      <c r="K105" s="38"/>
      <c r="L105" s="38">
        <f t="shared" si="64"/>
        <v>1027</v>
      </c>
      <c r="M105" s="38"/>
      <c r="N105" s="38">
        <v>728</v>
      </c>
      <c r="O105" s="38">
        <v>208</v>
      </c>
      <c r="P105" s="38">
        <f t="shared" si="65"/>
        <v>91</v>
      </c>
      <c r="Q105" s="38">
        <f t="shared" si="61"/>
        <v>91</v>
      </c>
      <c r="R105" s="38"/>
      <c r="S105" s="38"/>
      <c r="T105" s="38"/>
      <c r="U105" s="38">
        <v>91</v>
      </c>
      <c r="V105" s="48">
        <f t="shared" si="62"/>
        <v>0</v>
      </c>
      <c r="W105" s="48"/>
      <c r="X105" s="48"/>
      <c r="Y105" s="48"/>
      <c r="Z105" s="48"/>
      <c r="AA105" s="38"/>
      <c r="AB105" s="38"/>
      <c r="AC105" s="38"/>
      <c r="AD105" s="38"/>
      <c r="AE105" s="38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7"/>
      <c r="AR105" s="146">
        <f t="shared" si="66"/>
        <v>0</v>
      </c>
      <c r="AS105" s="146">
        <f t="shared" si="67"/>
        <v>0</v>
      </c>
    </row>
    <row r="106" spans="1:45" s="37" customFormat="1" ht="51.6" customHeight="1" x14ac:dyDescent="0.25">
      <c r="A106" s="35">
        <v>10</v>
      </c>
      <c r="B106" s="137" t="s">
        <v>277</v>
      </c>
      <c r="C106" s="138" t="s">
        <v>278</v>
      </c>
      <c r="D106" s="35" t="s">
        <v>279</v>
      </c>
      <c r="E106" s="38">
        <f t="shared" si="63"/>
        <v>1074</v>
      </c>
      <c r="F106" s="38"/>
      <c r="G106" s="38">
        <v>752</v>
      </c>
      <c r="H106" s="38">
        <v>215</v>
      </c>
      <c r="I106" s="38">
        <v>107</v>
      </c>
      <c r="J106" s="38">
        <v>1069.1320000000001</v>
      </c>
      <c r="K106" s="38"/>
      <c r="L106" s="38">
        <f t="shared" si="64"/>
        <v>967</v>
      </c>
      <c r="M106" s="38"/>
      <c r="N106" s="38">
        <v>752</v>
      </c>
      <c r="O106" s="38">
        <v>215</v>
      </c>
      <c r="P106" s="38"/>
      <c r="Q106" s="38">
        <f t="shared" si="61"/>
        <v>0</v>
      </c>
      <c r="R106" s="38"/>
      <c r="S106" s="38"/>
      <c r="T106" s="38"/>
      <c r="U106" s="38"/>
      <c r="V106" s="48">
        <f t="shared" si="62"/>
        <v>102.13200000000006</v>
      </c>
      <c r="W106" s="48"/>
      <c r="X106" s="48"/>
      <c r="Y106" s="48"/>
      <c r="Z106" s="48">
        <v>102.13200000000006</v>
      </c>
      <c r="AA106" s="38"/>
      <c r="AB106" s="38"/>
      <c r="AC106" s="38"/>
      <c r="AD106" s="38"/>
      <c r="AE106" s="38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7"/>
      <c r="AR106" s="146">
        <f t="shared" si="66"/>
        <v>102.13200000000006</v>
      </c>
      <c r="AS106" s="146">
        <f t="shared" si="67"/>
        <v>0</v>
      </c>
    </row>
    <row r="107" spans="1:45" s="37" customFormat="1" ht="66.599999999999994" customHeight="1" x14ac:dyDescent="0.25">
      <c r="A107" s="35">
        <v>11</v>
      </c>
      <c r="B107" s="137" t="s">
        <v>280</v>
      </c>
      <c r="C107" s="138" t="s">
        <v>281</v>
      </c>
      <c r="D107" s="35" t="s">
        <v>282</v>
      </c>
      <c r="E107" s="38">
        <f t="shared" si="63"/>
        <v>1105</v>
      </c>
      <c r="F107" s="38"/>
      <c r="G107" s="38">
        <v>735</v>
      </c>
      <c r="H107" s="38">
        <v>210</v>
      </c>
      <c r="I107" s="38">
        <v>160</v>
      </c>
      <c r="J107" s="38">
        <v>1105.2429999999999</v>
      </c>
      <c r="K107" s="38"/>
      <c r="L107" s="38">
        <f t="shared" si="64"/>
        <v>1099.0430000000001</v>
      </c>
      <c r="M107" s="38"/>
      <c r="N107" s="38">
        <v>735</v>
      </c>
      <c r="O107" s="38">
        <v>210</v>
      </c>
      <c r="P107" s="38">
        <v>154.04300000000001</v>
      </c>
      <c r="Q107" s="38">
        <f t="shared" si="61"/>
        <v>154.04300000000001</v>
      </c>
      <c r="R107" s="38"/>
      <c r="S107" s="38"/>
      <c r="T107" s="38"/>
      <c r="U107" s="38">
        <f>154.043</f>
        <v>154.04300000000001</v>
      </c>
      <c r="V107" s="48">
        <f t="shared" si="62"/>
        <v>6.2000000000000455</v>
      </c>
      <c r="W107" s="48"/>
      <c r="X107" s="48"/>
      <c r="Y107" s="48"/>
      <c r="Z107" s="48">
        <v>6.2000000000000455</v>
      </c>
      <c r="AA107" s="38"/>
      <c r="AB107" s="38"/>
      <c r="AC107" s="38"/>
      <c r="AD107" s="38"/>
      <c r="AE107" s="148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7"/>
      <c r="AR107" s="146">
        <f t="shared" si="66"/>
        <v>6.1999999999998181</v>
      </c>
      <c r="AS107" s="146">
        <f t="shared" si="67"/>
        <v>-2.2737367544323206E-13</v>
      </c>
    </row>
    <row r="108" spans="1:45" s="37" customFormat="1" ht="78.599999999999994" customHeight="1" x14ac:dyDescent="0.25">
      <c r="A108" s="35">
        <v>12</v>
      </c>
      <c r="B108" s="135" t="s">
        <v>283</v>
      </c>
      <c r="C108" s="138" t="s">
        <v>284</v>
      </c>
      <c r="D108" s="139" t="s">
        <v>285</v>
      </c>
      <c r="E108" s="38">
        <f t="shared" si="63"/>
        <v>1104</v>
      </c>
      <c r="F108" s="38"/>
      <c r="G108" s="38">
        <v>771</v>
      </c>
      <c r="H108" s="38">
        <v>220</v>
      </c>
      <c r="I108" s="38">
        <v>113</v>
      </c>
      <c r="J108" s="38">
        <v>1103</v>
      </c>
      <c r="K108" s="38"/>
      <c r="L108" s="38">
        <f t="shared" si="64"/>
        <v>1103</v>
      </c>
      <c r="M108" s="38"/>
      <c r="N108" s="38">
        <v>771</v>
      </c>
      <c r="O108" s="38">
        <v>220</v>
      </c>
      <c r="P108" s="38">
        <v>112</v>
      </c>
      <c r="Q108" s="38">
        <f t="shared" si="61"/>
        <v>112</v>
      </c>
      <c r="R108" s="38"/>
      <c r="S108" s="38"/>
      <c r="T108" s="38"/>
      <c r="U108" s="38">
        <v>112</v>
      </c>
      <c r="V108" s="48">
        <f t="shared" si="62"/>
        <v>0</v>
      </c>
      <c r="W108" s="48"/>
      <c r="X108" s="48"/>
      <c r="Y108" s="48"/>
      <c r="Z108" s="48"/>
      <c r="AA108" s="38"/>
      <c r="AB108" s="38"/>
      <c r="AC108" s="38"/>
      <c r="AD108" s="38"/>
      <c r="AE108" s="38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7"/>
      <c r="AR108" s="146">
        <f t="shared" si="66"/>
        <v>0</v>
      </c>
      <c r="AS108" s="146">
        <f t="shared" si="67"/>
        <v>0</v>
      </c>
    </row>
    <row r="109" spans="1:45" s="37" customFormat="1" ht="40.799999999999997" customHeight="1" x14ac:dyDescent="0.25">
      <c r="A109" s="35">
        <v>13</v>
      </c>
      <c r="B109" s="137" t="s">
        <v>286</v>
      </c>
      <c r="C109" s="138" t="s">
        <v>287</v>
      </c>
      <c r="D109" s="35" t="s">
        <v>288</v>
      </c>
      <c r="E109" s="38">
        <f t="shared" si="63"/>
        <v>1079</v>
      </c>
      <c r="F109" s="38"/>
      <c r="G109" s="38">
        <v>755</v>
      </c>
      <c r="H109" s="38">
        <v>216</v>
      </c>
      <c r="I109" s="38">
        <v>108</v>
      </c>
      <c r="J109" s="38">
        <v>1076.2929999999999</v>
      </c>
      <c r="K109" s="38"/>
      <c r="L109" s="38">
        <f t="shared" si="64"/>
        <v>971</v>
      </c>
      <c r="M109" s="38"/>
      <c r="N109" s="38">
        <v>755</v>
      </c>
      <c r="O109" s="38">
        <v>216</v>
      </c>
      <c r="P109" s="38"/>
      <c r="Q109" s="38">
        <f t="shared" si="61"/>
        <v>0</v>
      </c>
      <c r="R109" s="38"/>
      <c r="S109" s="38"/>
      <c r="T109" s="38"/>
      <c r="U109" s="38"/>
      <c r="V109" s="48">
        <f t="shared" si="62"/>
        <v>105.29299999999989</v>
      </c>
      <c r="W109" s="48"/>
      <c r="X109" s="48"/>
      <c r="Y109" s="48"/>
      <c r="Z109" s="48">
        <v>105.29299999999989</v>
      </c>
      <c r="AA109" s="38"/>
      <c r="AB109" s="38"/>
      <c r="AC109" s="38"/>
      <c r="AD109" s="38"/>
      <c r="AE109" s="38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7"/>
      <c r="AR109" s="146">
        <f t="shared" si="66"/>
        <v>105.29299999999989</v>
      </c>
      <c r="AS109" s="146">
        <f t="shared" si="67"/>
        <v>0</v>
      </c>
    </row>
    <row r="110" spans="1:45" s="37" customFormat="1" ht="28.8" customHeight="1" x14ac:dyDescent="0.25">
      <c r="A110" s="35">
        <v>14</v>
      </c>
      <c r="B110" s="137" t="s">
        <v>289</v>
      </c>
      <c r="C110" s="138" t="s">
        <v>290</v>
      </c>
      <c r="D110" s="35" t="s">
        <v>291</v>
      </c>
      <c r="E110" s="38">
        <f t="shared" si="63"/>
        <v>1029</v>
      </c>
      <c r="F110" s="38"/>
      <c r="G110" s="38">
        <v>704</v>
      </c>
      <c r="H110" s="38">
        <v>201</v>
      </c>
      <c r="I110" s="38">
        <v>124</v>
      </c>
      <c r="J110" s="38">
        <v>1026.06</v>
      </c>
      <c r="K110" s="38"/>
      <c r="L110" s="38">
        <f t="shared" si="64"/>
        <v>905</v>
      </c>
      <c r="M110" s="38"/>
      <c r="N110" s="38">
        <v>704</v>
      </c>
      <c r="O110" s="38">
        <v>201</v>
      </c>
      <c r="P110" s="38"/>
      <c r="Q110" s="38">
        <f t="shared" si="61"/>
        <v>0</v>
      </c>
      <c r="R110" s="38"/>
      <c r="S110" s="38"/>
      <c r="T110" s="38"/>
      <c r="U110" s="38"/>
      <c r="V110" s="48">
        <f t="shared" si="62"/>
        <v>121.05999999999995</v>
      </c>
      <c r="W110" s="48"/>
      <c r="X110" s="48"/>
      <c r="Y110" s="48"/>
      <c r="Z110" s="48">
        <v>121.05999999999995</v>
      </c>
      <c r="AA110" s="38"/>
      <c r="AB110" s="38"/>
      <c r="AC110" s="38"/>
      <c r="AD110" s="38"/>
      <c r="AE110" s="38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7"/>
      <c r="AR110" s="146">
        <f t="shared" si="66"/>
        <v>121.05999999999995</v>
      </c>
      <c r="AS110" s="146">
        <f t="shared" si="67"/>
        <v>0</v>
      </c>
    </row>
    <row r="111" spans="1:45" s="37" customFormat="1" ht="51.6" customHeight="1" x14ac:dyDescent="0.25">
      <c r="A111" s="35">
        <v>15</v>
      </c>
      <c r="B111" s="137" t="s">
        <v>292</v>
      </c>
      <c r="C111" s="138" t="s">
        <v>293</v>
      </c>
      <c r="D111" s="35" t="s">
        <v>294</v>
      </c>
      <c r="E111" s="38">
        <f t="shared" si="63"/>
        <v>1140</v>
      </c>
      <c r="F111" s="38"/>
      <c r="G111" s="38">
        <v>798</v>
      </c>
      <c r="H111" s="38">
        <v>228</v>
      </c>
      <c r="I111" s="38">
        <v>114</v>
      </c>
      <c r="J111" s="38">
        <v>1122.9469999999999</v>
      </c>
      <c r="K111" s="38"/>
      <c r="L111" s="38">
        <f t="shared" si="64"/>
        <v>1026</v>
      </c>
      <c r="M111" s="38"/>
      <c r="N111" s="38">
        <v>798</v>
      </c>
      <c r="O111" s="38">
        <v>228</v>
      </c>
      <c r="P111" s="38"/>
      <c r="Q111" s="38">
        <f t="shared" si="61"/>
        <v>0</v>
      </c>
      <c r="R111" s="38"/>
      <c r="S111" s="38"/>
      <c r="T111" s="38"/>
      <c r="U111" s="38"/>
      <c r="V111" s="48">
        <f t="shared" si="62"/>
        <v>96.946999999999889</v>
      </c>
      <c r="W111" s="48"/>
      <c r="X111" s="48"/>
      <c r="Y111" s="48"/>
      <c r="Z111" s="48">
        <v>96.946999999999889</v>
      </c>
      <c r="AA111" s="38"/>
      <c r="AB111" s="38"/>
      <c r="AC111" s="38"/>
      <c r="AD111" s="38"/>
      <c r="AE111" s="38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7"/>
      <c r="AR111" s="146">
        <f t="shared" si="66"/>
        <v>96.946999999999889</v>
      </c>
      <c r="AS111" s="146">
        <f t="shared" si="67"/>
        <v>0</v>
      </c>
    </row>
    <row r="112" spans="1:45" s="37" customFormat="1" ht="64.8" customHeight="1" x14ac:dyDescent="0.25">
      <c r="A112" s="35">
        <v>16</v>
      </c>
      <c r="B112" s="137" t="s">
        <v>295</v>
      </c>
      <c r="C112" s="138" t="s">
        <v>296</v>
      </c>
      <c r="D112" s="35" t="s">
        <v>297</v>
      </c>
      <c r="E112" s="38">
        <f t="shared" si="63"/>
        <v>1121</v>
      </c>
      <c r="F112" s="38"/>
      <c r="G112" s="38">
        <v>785</v>
      </c>
      <c r="H112" s="38">
        <v>224</v>
      </c>
      <c r="I112" s="38">
        <v>112</v>
      </c>
      <c r="J112" s="38">
        <v>1113.0350000000001</v>
      </c>
      <c r="K112" s="38"/>
      <c r="L112" s="38">
        <f t="shared" si="64"/>
        <v>1009</v>
      </c>
      <c r="M112" s="38"/>
      <c r="N112" s="38">
        <v>785</v>
      </c>
      <c r="O112" s="38">
        <v>224</v>
      </c>
      <c r="P112" s="38"/>
      <c r="Q112" s="38">
        <f t="shared" si="61"/>
        <v>0</v>
      </c>
      <c r="R112" s="38"/>
      <c r="S112" s="38"/>
      <c r="T112" s="38"/>
      <c r="U112" s="38"/>
      <c r="V112" s="48">
        <f t="shared" si="62"/>
        <v>104.03500000000008</v>
      </c>
      <c r="W112" s="48"/>
      <c r="X112" s="48"/>
      <c r="Y112" s="48"/>
      <c r="Z112" s="48">
        <v>104.03500000000008</v>
      </c>
      <c r="AA112" s="38"/>
      <c r="AB112" s="38"/>
      <c r="AC112" s="38"/>
      <c r="AD112" s="38"/>
      <c r="AE112" s="38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7"/>
      <c r="AR112" s="146">
        <f t="shared" si="66"/>
        <v>104.03500000000008</v>
      </c>
      <c r="AS112" s="146">
        <f t="shared" si="67"/>
        <v>0</v>
      </c>
    </row>
    <row r="113" spans="1:45" s="37" customFormat="1" ht="64.8" customHeight="1" x14ac:dyDescent="0.25">
      <c r="A113" s="35">
        <v>17</v>
      </c>
      <c r="B113" s="137" t="s">
        <v>298</v>
      </c>
      <c r="C113" s="138" t="s">
        <v>299</v>
      </c>
      <c r="D113" s="35" t="s">
        <v>300</v>
      </c>
      <c r="E113" s="38">
        <f t="shared" si="63"/>
        <v>788</v>
      </c>
      <c r="F113" s="38"/>
      <c r="G113" s="38">
        <v>394</v>
      </c>
      <c r="H113" s="38">
        <v>79</v>
      </c>
      <c r="I113" s="38">
        <v>315</v>
      </c>
      <c r="J113" s="38">
        <v>786.40099999999995</v>
      </c>
      <c r="K113" s="38"/>
      <c r="L113" s="38">
        <f t="shared" si="64"/>
        <v>769.26600000000008</v>
      </c>
      <c r="M113" s="38"/>
      <c r="N113" s="38">
        <v>394</v>
      </c>
      <c r="O113" s="38">
        <v>79</v>
      </c>
      <c r="P113" s="38">
        <v>296.26600000000002</v>
      </c>
      <c r="Q113" s="38">
        <f t="shared" si="61"/>
        <v>296.26600000000002</v>
      </c>
      <c r="R113" s="38"/>
      <c r="S113" s="38"/>
      <c r="T113" s="38"/>
      <c r="U113" s="38">
        <f>296.266</f>
        <v>296.26600000000002</v>
      </c>
      <c r="V113" s="48">
        <f t="shared" si="62"/>
        <v>17.134999999999991</v>
      </c>
      <c r="W113" s="48"/>
      <c r="X113" s="48"/>
      <c r="Y113" s="48"/>
      <c r="Z113" s="48">
        <v>17.134999999999991</v>
      </c>
      <c r="AA113" s="38"/>
      <c r="AB113" s="38"/>
      <c r="AC113" s="38"/>
      <c r="AD113" s="38"/>
      <c r="AE113" s="38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7"/>
      <c r="AR113" s="146">
        <f t="shared" si="66"/>
        <v>17.134999999999877</v>
      </c>
      <c r="AS113" s="146">
        <f t="shared" si="67"/>
        <v>-1.1368683772161603E-13</v>
      </c>
    </row>
    <row r="114" spans="1:45" s="37" customFormat="1" ht="64.8" customHeight="1" x14ac:dyDescent="0.25">
      <c r="A114" s="35">
        <v>18</v>
      </c>
      <c r="B114" s="137" t="s">
        <v>301</v>
      </c>
      <c r="C114" s="138" t="s">
        <v>302</v>
      </c>
      <c r="D114" s="35" t="s">
        <v>303</v>
      </c>
      <c r="E114" s="38">
        <f t="shared" si="63"/>
        <v>942</v>
      </c>
      <c r="F114" s="38"/>
      <c r="G114" s="38">
        <v>471</v>
      </c>
      <c r="H114" s="38">
        <v>94</v>
      </c>
      <c r="I114" s="38">
        <v>377</v>
      </c>
      <c r="J114" s="38">
        <v>886.86699999999996</v>
      </c>
      <c r="K114" s="38"/>
      <c r="L114" s="38">
        <f t="shared" si="64"/>
        <v>781.86699999999996</v>
      </c>
      <c r="M114" s="38"/>
      <c r="N114" s="38">
        <v>471</v>
      </c>
      <c r="O114" s="38">
        <v>94</v>
      </c>
      <c r="P114" s="38">
        <v>216.86699999999999</v>
      </c>
      <c r="Q114" s="38">
        <f t="shared" si="61"/>
        <v>216.86699999999999</v>
      </c>
      <c r="R114" s="38"/>
      <c r="S114" s="38"/>
      <c r="T114" s="38"/>
      <c r="U114" s="38">
        <v>216.86699999999999</v>
      </c>
      <c r="V114" s="48">
        <f t="shared" si="62"/>
        <v>105</v>
      </c>
      <c r="W114" s="48"/>
      <c r="X114" s="48"/>
      <c r="Y114" s="48"/>
      <c r="Z114" s="48">
        <v>105</v>
      </c>
      <c r="AA114" s="38"/>
      <c r="AB114" s="38"/>
      <c r="AC114" s="38"/>
      <c r="AD114" s="38"/>
      <c r="AE114" s="38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7"/>
      <c r="AR114" s="146">
        <f t="shared" si="66"/>
        <v>105</v>
      </c>
      <c r="AS114" s="146">
        <f t="shared" si="67"/>
        <v>0</v>
      </c>
    </row>
    <row r="115" spans="1:45" s="37" customFormat="1" ht="64.8" customHeight="1" x14ac:dyDescent="0.25">
      <c r="A115" s="35">
        <v>19</v>
      </c>
      <c r="B115" s="137" t="s">
        <v>304</v>
      </c>
      <c r="C115" s="138" t="s">
        <v>305</v>
      </c>
      <c r="D115" s="35" t="s">
        <v>306</v>
      </c>
      <c r="E115" s="38">
        <f t="shared" si="63"/>
        <v>1120</v>
      </c>
      <c r="F115" s="38"/>
      <c r="G115" s="38">
        <v>784</v>
      </c>
      <c r="H115" s="38">
        <v>112</v>
      </c>
      <c r="I115" s="38">
        <v>224</v>
      </c>
      <c r="J115" s="38">
        <v>1083.7280000000001</v>
      </c>
      <c r="K115" s="38"/>
      <c r="L115" s="38">
        <f t="shared" si="64"/>
        <v>1047.636</v>
      </c>
      <c r="M115" s="38"/>
      <c r="N115" s="38">
        <v>784</v>
      </c>
      <c r="O115" s="38">
        <v>112</v>
      </c>
      <c r="P115" s="38">
        <v>151.636</v>
      </c>
      <c r="Q115" s="38">
        <f t="shared" si="61"/>
        <v>151.636</v>
      </c>
      <c r="R115" s="38"/>
      <c r="S115" s="38"/>
      <c r="T115" s="38"/>
      <c r="U115" s="38">
        <f>151.636</f>
        <v>151.636</v>
      </c>
      <c r="V115" s="48">
        <f t="shared" si="62"/>
        <v>36.092043000000103</v>
      </c>
      <c r="W115" s="48"/>
      <c r="X115" s="48"/>
      <c r="Y115" s="48"/>
      <c r="Z115" s="48">
        <v>36.092043000000103</v>
      </c>
      <c r="AA115" s="38"/>
      <c r="AB115" s="38"/>
      <c r="AC115" s="38"/>
      <c r="AD115" s="38"/>
      <c r="AE115" s="38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7"/>
      <c r="AR115" s="146">
        <f t="shared" si="66"/>
        <v>36.092000000000098</v>
      </c>
      <c r="AS115" s="146">
        <f t="shared" si="67"/>
        <v>-4.3000000005122274E-5</v>
      </c>
    </row>
    <row r="116" spans="1:45" s="37" customFormat="1" ht="65.400000000000006" customHeight="1" x14ac:dyDescent="0.25">
      <c r="A116" s="35">
        <v>24</v>
      </c>
      <c r="B116" s="137" t="s">
        <v>307</v>
      </c>
      <c r="C116" s="138" t="s">
        <v>308</v>
      </c>
      <c r="D116" s="35" t="s">
        <v>309</v>
      </c>
      <c r="E116" s="38">
        <f t="shared" si="63"/>
        <v>400</v>
      </c>
      <c r="F116" s="38"/>
      <c r="G116" s="38">
        <v>240</v>
      </c>
      <c r="H116" s="38"/>
      <c r="I116" s="38">
        <v>160</v>
      </c>
      <c r="J116" s="38">
        <v>391.63099999999997</v>
      </c>
      <c r="K116" s="38"/>
      <c r="L116" s="38">
        <f t="shared" si="64"/>
        <v>383.71600000000001</v>
      </c>
      <c r="M116" s="38"/>
      <c r="N116" s="38">
        <v>240</v>
      </c>
      <c r="O116" s="38"/>
      <c r="P116" s="38">
        <f>143.716</f>
        <v>143.71600000000001</v>
      </c>
      <c r="Q116" s="38">
        <f t="shared" si="61"/>
        <v>150.08500000000004</v>
      </c>
      <c r="R116" s="38"/>
      <c r="S116" s="38"/>
      <c r="T116" s="38"/>
      <c r="U116" s="38">
        <v>150.08500000000004</v>
      </c>
      <c r="V116" s="48">
        <f t="shared" si="62"/>
        <v>7.9149999999999636</v>
      </c>
      <c r="W116" s="48"/>
      <c r="X116" s="48"/>
      <c r="Y116" s="48"/>
      <c r="Z116" s="48">
        <v>7.9149999999999636</v>
      </c>
      <c r="AA116" s="38"/>
      <c r="AB116" s="38"/>
      <c r="AC116" s="38"/>
      <c r="AD116" s="38"/>
      <c r="AE116" s="38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7"/>
      <c r="AR116" s="146">
        <f t="shared" si="66"/>
        <v>7.9149999999999636</v>
      </c>
      <c r="AS116" s="146">
        <f t="shared" si="67"/>
        <v>0</v>
      </c>
    </row>
    <row r="117" spans="1:45" s="37" customFormat="1" ht="65.400000000000006" customHeight="1" x14ac:dyDescent="0.25">
      <c r="A117" s="35">
        <v>25</v>
      </c>
      <c r="B117" s="137" t="s">
        <v>310</v>
      </c>
      <c r="C117" s="138" t="s">
        <v>311</v>
      </c>
      <c r="D117" s="35" t="s">
        <v>312</v>
      </c>
      <c r="E117" s="38">
        <f t="shared" si="63"/>
        <v>400</v>
      </c>
      <c r="F117" s="38"/>
      <c r="G117" s="38">
        <v>240</v>
      </c>
      <c r="H117" s="38"/>
      <c r="I117" s="38">
        <v>160</v>
      </c>
      <c r="J117" s="38">
        <v>388.01499999999999</v>
      </c>
      <c r="K117" s="38"/>
      <c r="L117" s="38">
        <f t="shared" si="64"/>
        <v>310.51600000000002</v>
      </c>
      <c r="M117" s="38"/>
      <c r="N117" s="38">
        <v>240</v>
      </c>
      <c r="O117" s="38"/>
      <c r="P117" s="38">
        <v>70.516000000000005</v>
      </c>
      <c r="Q117" s="38">
        <f t="shared" si="61"/>
        <v>7</v>
      </c>
      <c r="R117" s="38"/>
      <c r="S117" s="38"/>
      <c r="T117" s="38"/>
      <c r="U117" s="38">
        <v>7</v>
      </c>
      <c r="V117" s="48">
        <f t="shared" si="62"/>
        <v>77.498999999999967</v>
      </c>
      <c r="W117" s="48"/>
      <c r="X117" s="48"/>
      <c r="Y117" s="48"/>
      <c r="Z117" s="48">
        <v>77.498999999999967</v>
      </c>
      <c r="AA117" s="38"/>
      <c r="AB117" s="38"/>
      <c r="AC117" s="38"/>
      <c r="AD117" s="38"/>
      <c r="AE117" s="38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7"/>
      <c r="AR117" s="146">
        <f t="shared" si="66"/>
        <v>77.498999999999967</v>
      </c>
      <c r="AS117" s="146">
        <f t="shared" si="67"/>
        <v>0</v>
      </c>
    </row>
    <row r="118" spans="1:45" s="37" customFormat="1" ht="65.400000000000006" customHeight="1" x14ac:dyDescent="0.25">
      <c r="A118" s="35">
        <v>26</v>
      </c>
      <c r="B118" s="137" t="s">
        <v>313</v>
      </c>
      <c r="C118" s="138" t="s">
        <v>314</v>
      </c>
      <c r="D118" s="35" t="s">
        <v>315</v>
      </c>
      <c r="E118" s="38">
        <f t="shared" si="63"/>
        <v>400</v>
      </c>
      <c r="F118" s="38"/>
      <c r="G118" s="38">
        <v>240</v>
      </c>
      <c r="H118" s="38"/>
      <c r="I118" s="38">
        <v>160</v>
      </c>
      <c r="J118" s="38">
        <v>392.21699999999998</v>
      </c>
      <c r="K118" s="38"/>
      <c r="L118" s="38">
        <f t="shared" si="64"/>
        <v>240</v>
      </c>
      <c r="M118" s="38"/>
      <c r="N118" s="38">
        <v>240</v>
      </c>
      <c r="O118" s="38"/>
      <c r="P118" s="38"/>
      <c r="Q118" s="38">
        <f t="shared" si="61"/>
        <v>7</v>
      </c>
      <c r="R118" s="38"/>
      <c r="S118" s="38"/>
      <c r="T118" s="38"/>
      <c r="U118" s="38">
        <v>7</v>
      </c>
      <c r="V118" s="48">
        <f t="shared" si="62"/>
        <v>152.21699999999998</v>
      </c>
      <c r="W118" s="48"/>
      <c r="X118" s="48"/>
      <c r="Y118" s="48"/>
      <c r="Z118" s="48">
        <v>152.21699999999998</v>
      </c>
      <c r="AA118" s="38"/>
      <c r="AB118" s="38"/>
      <c r="AC118" s="38"/>
      <c r="AD118" s="38"/>
      <c r="AE118" s="38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7"/>
      <c r="AR118" s="146">
        <f t="shared" si="66"/>
        <v>152.21699999999998</v>
      </c>
      <c r="AS118" s="146">
        <f t="shared" si="67"/>
        <v>0</v>
      </c>
    </row>
    <row r="119" spans="1:45" s="37" customFormat="1" ht="14.4" hidden="1" customHeight="1" x14ac:dyDescent="0.25">
      <c r="A119" s="36"/>
      <c r="B119" s="136" t="s">
        <v>316</v>
      </c>
      <c r="C119" s="140"/>
      <c r="D119" s="35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38">
        <f t="shared" si="61"/>
        <v>0</v>
      </c>
      <c r="R119" s="141"/>
      <c r="S119" s="141"/>
      <c r="T119" s="141"/>
      <c r="U119" s="141"/>
      <c r="V119" s="48">
        <f t="shared" si="62"/>
        <v>0</v>
      </c>
      <c r="W119" s="142"/>
      <c r="X119" s="142"/>
      <c r="Y119" s="142"/>
      <c r="Z119" s="142"/>
      <c r="AA119" s="38"/>
      <c r="AB119" s="141"/>
      <c r="AC119" s="141"/>
      <c r="AD119" s="141"/>
      <c r="AE119" s="38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7"/>
      <c r="AR119" s="146">
        <f t="shared" si="66"/>
        <v>0</v>
      </c>
      <c r="AS119" s="146">
        <f t="shared" si="67"/>
        <v>0</v>
      </c>
    </row>
    <row r="120" spans="1:45" s="37" customFormat="1" ht="14.4" hidden="1" customHeight="1" x14ac:dyDescent="0.25">
      <c r="A120" s="36"/>
      <c r="B120" s="136" t="s">
        <v>316</v>
      </c>
      <c r="C120" s="140"/>
      <c r="D120" s="35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38">
        <f t="shared" si="61"/>
        <v>0</v>
      </c>
      <c r="R120" s="141"/>
      <c r="S120" s="141"/>
      <c r="T120" s="141"/>
      <c r="U120" s="141"/>
      <c r="V120" s="48">
        <f t="shared" si="62"/>
        <v>0</v>
      </c>
      <c r="W120" s="142"/>
      <c r="X120" s="142"/>
      <c r="Y120" s="142"/>
      <c r="Z120" s="142"/>
      <c r="AA120" s="38"/>
      <c r="AB120" s="141"/>
      <c r="AC120" s="141"/>
      <c r="AD120" s="141"/>
      <c r="AE120" s="38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7"/>
      <c r="AR120" s="146">
        <f t="shared" si="66"/>
        <v>0</v>
      </c>
      <c r="AS120" s="146">
        <f t="shared" si="67"/>
        <v>0</v>
      </c>
    </row>
    <row r="121" spans="1:45" s="37" customFormat="1" ht="51.6" customHeight="1" x14ac:dyDescent="0.25">
      <c r="A121" s="35">
        <v>27</v>
      </c>
      <c r="B121" s="137" t="s">
        <v>317</v>
      </c>
      <c r="C121" s="138" t="s">
        <v>318</v>
      </c>
      <c r="D121" s="35" t="s">
        <v>319</v>
      </c>
      <c r="E121" s="38">
        <f t="shared" ref="E121:E122" si="68">F121+G121+H121+I121</f>
        <v>699.995</v>
      </c>
      <c r="F121" s="38"/>
      <c r="G121" s="38"/>
      <c r="H121" s="38">
        <v>630</v>
      </c>
      <c r="I121" s="38">
        <f>699.995-630</f>
        <v>69.995000000000005</v>
      </c>
      <c r="J121" s="38">
        <v>686.61300000000006</v>
      </c>
      <c r="K121" s="38"/>
      <c r="L121" s="38">
        <f t="shared" ref="L121:L122" si="69">M121+N121+O121+P121</f>
        <v>645.75199999999995</v>
      </c>
      <c r="M121" s="38"/>
      <c r="N121" s="38"/>
      <c r="O121" s="38">
        <v>629.93799999999999</v>
      </c>
      <c r="P121" s="38">
        <v>15.814</v>
      </c>
      <c r="Q121" s="38">
        <f t="shared" si="61"/>
        <v>15.814</v>
      </c>
      <c r="R121" s="38"/>
      <c r="S121" s="38"/>
      <c r="T121" s="38"/>
      <c r="U121" s="38">
        <v>15.814</v>
      </c>
      <c r="V121" s="48">
        <f t="shared" si="62"/>
        <v>40.861000000000104</v>
      </c>
      <c r="W121" s="48"/>
      <c r="X121" s="48"/>
      <c r="Y121" s="48"/>
      <c r="Z121" s="48">
        <v>40.861000000000104</v>
      </c>
      <c r="AA121" s="38"/>
      <c r="AB121" s="38"/>
      <c r="AC121" s="38"/>
      <c r="AD121" s="38"/>
      <c r="AE121" s="38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7"/>
      <c r="AR121" s="146">
        <f t="shared" si="66"/>
        <v>40.861000000000104</v>
      </c>
      <c r="AS121" s="146">
        <f t="shared" si="67"/>
        <v>0</v>
      </c>
    </row>
    <row r="122" spans="1:45" s="37" customFormat="1" ht="51.6" customHeight="1" x14ac:dyDescent="0.25">
      <c r="A122" s="35">
        <v>28</v>
      </c>
      <c r="B122" s="137" t="s">
        <v>320</v>
      </c>
      <c r="C122" s="138" t="s">
        <v>321</v>
      </c>
      <c r="D122" s="35" t="s">
        <v>322</v>
      </c>
      <c r="E122" s="38">
        <f t="shared" si="68"/>
        <v>869.86699999999996</v>
      </c>
      <c r="F122" s="38"/>
      <c r="G122" s="38"/>
      <c r="H122" s="38">
        <v>770</v>
      </c>
      <c r="I122" s="38">
        <f>869.867-770</f>
        <v>99.866999999999962</v>
      </c>
      <c r="J122" s="38">
        <v>867.95500000000004</v>
      </c>
      <c r="K122" s="38"/>
      <c r="L122" s="38">
        <f t="shared" si="69"/>
        <v>773.38599999999997</v>
      </c>
      <c r="M122" s="38"/>
      <c r="N122" s="38"/>
      <c r="O122" s="38">
        <v>769.20799999999997</v>
      </c>
      <c r="P122" s="38">
        <v>4.1779999999999999</v>
      </c>
      <c r="Q122" s="38">
        <f t="shared" si="61"/>
        <v>4.1779999999999999</v>
      </c>
      <c r="R122" s="38"/>
      <c r="S122" s="38"/>
      <c r="T122" s="38"/>
      <c r="U122" s="38">
        <v>4.1779999999999999</v>
      </c>
      <c r="V122" s="48">
        <f t="shared" si="62"/>
        <v>94.569000000000074</v>
      </c>
      <c r="W122" s="48"/>
      <c r="X122" s="48"/>
      <c r="Y122" s="48"/>
      <c r="Z122" s="48">
        <v>94.569000000000074</v>
      </c>
      <c r="AA122" s="38"/>
      <c r="AB122" s="38"/>
      <c r="AC122" s="38"/>
      <c r="AD122" s="38"/>
      <c r="AE122" s="38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8"/>
      <c r="AR122" s="146">
        <f t="shared" si="66"/>
        <v>94.569000000000074</v>
      </c>
      <c r="AS122" s="146">
        <f t="shared" si="67"/>
        <v>0</v>
      </c>
    </row>
    <row r="123" spans="1:45" s="97" customFormat="1" ht="45" customHeight="1" x14ac:dyDescent="0.25">
      <c r="A123" s="33" t="s">
        <v>323</v>
      </c>
      <c r="B123" s="34" t="s">
        <v>324</v>
      </c>
      <c r="C123" s="98"/>
      <c r="D123" s="10"/>
      <c r="E123" s="11">
        <f>SUM(E124:E130)</f>
        <v>7930</v>
      </c>
      <c r="F123" s="11">
        <f t="shared" ref="F123:U123" si="70">SUM(F124:F130)</f>
        <v>960</v>
      </c>
      <c r="G123" s="11">
        <f t="shared" si="70"/>
        <v>4005</v>
      </c>
      <c r="H123" s="11">
        <f t="shared" si="70"/>
        <v>918</v>
      </c>
      <c r="I123" s="11">
        <f t="shared" si="70"/>
        <v>2047</v>
      </c>
      <c r="J123" s="11">
        <f t="shared" si="70"/>
        <v>7220</v>
      </c>
      <c r="K123" s="11">
        <f t="shared" si="70"/>
        <v>0</v>
      </c>
      <c r="L123" s="11">
        <f t="shared" si="70"/>
        <v>5716.3819999999996</v>
      </c>
      <c r="M123" s="11">
        <f t="shared" si="70"/>
        <v>960</v>
      </c>
      <c r="N123" s="11">
        <f t="shared" si="70"/>
        <v>3753</v>
      </c>
      <c r="O123" s="11">
        <f t="shared" si="70"/>
        <v>931.21800000000007</v>
      </c>
      <c r="P123" s="11">
        <f t="shared" si="70"/>
        <v>72.164000000000001</v>
      </c>
      <c r="Q123" s="11">
        <f t="shared" si="70"/>
        <v>61.704999999999998</v>
      </c>
      <c r="R123" s="11">
        <f t="shared" si="70"/>
        <v>0</v>
      </c>
      <c r="S123" s="11">
        <f t="shared" si="70"/>
        <v>0</v>
      </c>
      <c r="T123" s="11">
        <f t="shared" si="70"/>
        <v>13.218</v>
      </c>
      <c r="U123" s="11">
        <f t="shared" si="70"/>
        <v>48.487000000000002</v>
      </c>
      <c r="V123" s="124">
        <f t="shared" ref="V123" si="71">SUM(V124:V130)</f>
        <v>1503.287</v>
      </c>
      <c r="W123" s="124">
        <f t="shared" ref="W123" si="72">SUM(W124:W130)</f>
        <v>0</v>
      </c>
      <c r="X123" s="124">
        <f t="shared" ref="X123" si="73">SUM(X124:X130)</f>
        <v>0</v>
      </c>
      <c r="Y123" s="124">
        <f t="shared" ref="Y123" si="74">SUM(Y124:Y130)</f>
        <v>0</v>
      </c>
      <c r="Z123" s="124">
        <f t="shared" ref="Z123" si="75">SUM(Z124:Z130)</f>
        <v>1503.287</v>
      </c>
      <c r="AA123" s="11"/>
      <c r="AB123" s="11"/>
      <c r="AC123" s="11"/>
      <c r="AD123" s="11"/>
      <c r="AE123" s="11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86"/>
      <c r="AR123" s="146">
        <f t="shared" si="66"/>
        <v>1503.6180000000004</v>
      </c>
      <c r="AS123" s="146">
        <f t="shared" si="67"/>
        <v>0.33100000000035834</v>
      </c>
    </row>
    <row r="124" spans="1:45" s="22" customFormat="1" ht="150" customHeight="1" x14ac:dyDescent="0.25">
      <c r="A124" s="73"/>
      <c r="B124" s="72" t="s">
        <v>326</v>
      </c>
      <c r="C124" s="73" t="s">
        <v>327</v>
      </c>
      <c r="D124" s="73" t="s">
        <v>328</v>
      </c>
      <c r="E124" s="71">
        <f>SUM(F124:I124)</f>
        <v>800</v>
      </c>
      <c r="F124" s="71">
        <v>480</v>
      </c>
      <c r="G124" s="71"/>
      <c r="H124" s="71"/>
      <c r="I124" s="71">
        <v>320</v>
      </c>
      <c r="J124" s="71">
        <v>773</v>
      </c>
      <c r="K124" s="71"/>
      <c r="L124" s="99">
        <f>SUM(M124:P124)</f>
        <v>497.34</v>
      </c>
      <c r="M124" s="71">
        <v>480</v>
      </c>
      <c r="N124" s="71"/>
      <c r="O124" s="71"/>
      <c r="P124" s="99">
        <f>U124</f>
        <v>17.34</v>
      </c>
      <c r="Q124" s="71">
        <f t="shared" ref="Q124:Q128" si="76">SUM(R124:U124)</f>
        <v>17.34</v>
      </c>
      <c r="R124" s="71"/>
      <c r="S124" s="71"/>
      <c r="T124" s="71"/>
      <c r="U124" s="99">
        <v>17.34</v>
      </c>
      <c r="V124" s="126">
        <f>SUM(W124:Z124)</f>
        <v>276.13799999999998</v>
      </c>
      <c r="W124" s="126"/>
      <c r="X124" s="126"/>
      <c r="Y124" s="126"/>
      <c r="Z124" s="126">
        <v>276.13799999999998</v>
      </c>
      <c r="AA124" s="71"/>
      <c r="AB124" s="71"/>
      <c r="AC124" s="71"/>
      <c r="AD124" s="71"/>
      <c r="AE124" s="71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73" t="s">
        <v>347</v>
      </c>
      <c r="AR124" s="146">
        <f t="shared" si="66"/>
        <v>275.66000000000003</v>
      </c>
      <c r="AS124" s="146">
        <f t="shared" si="67"/>
        <v>-0.4779999999999518</v>
      </c>
    </row>
    <row r="125" spans="1:45" s="22" customFormat="1" ht="88.5" customHeight="1" x14ac:dyDescent="0.25">
      <c r="A125" s="73"/>
      <c r="B125" s="72" t="s">
        <v>329</v>
      </c>
      <c r="C125" s="73" t="s">
        <v>330</v>
      </c>
      <c r="D125" s="73" t="s">
        <v>331</v>
      </c>
      <c r="E125" s="71">
        <f t="shared" ref="E125:E130" si="77">SUM(F125:I125)</f>
        <v>750</v>
      </c>
      <c r="F125" s="71"/>
      <c r="G125" s="71">
        <v>375</v>
      </c>
      <c r="H125" s="71">
        <v>75</v>
      </c>
      <c r="I125" s="71">
        <v>300</v>
      </c>
      <c r="J125" s="71">
        <v>663</v>
      </c>
      <c r="K125" s="71"/>
      <c r="L125" s="99">
        <f t="shared" ref="L125:L130" si="78">SUM(M125:P125)</f>
        <v>463.858</v>
      </c>
      <c r="M125" s="71"/>
      <c r="N125" s="71">
        <v>375</v>
      </c>
      <c r="O125" s="71">
        <v>75</v>
      </c>
      <c r="P125" s="99">
        <f>U125</f>
        <v>13.858000000000001</v>
      </c>
      <c r="Q125" s="71">
        <f t="shared" si="76"/>
        <v>13.858000000000001</v>
      </c>
      <c r="R125" s="71"/>
      <c r="S125" s="71"/>
      <c r="T125" s="71"/>
      <c r="U125" s="99">
        <v>13.858000000000001</v>
      </c>
      <c r="V125" s="126">
        <f t="shared" ref="V125:V130" si="79">SUM(W125:Z125)</f>
        <v>199.46100000000001</v>
      </c>
      <c r="W125" s="126"/>
      <c r="X125" s="126"/>
      <c r="Y125" s="126"/>
      <c r="Z125" s="126">
        <v>199.46100000000001</v>
      </c>
      <c r="AA125" s="71"/>
      <c r="AB125" s="71"/>
      <c r="AC125" s="71"/>
      <c r="AD125" s="71"/>
      <c r="AE125" s="71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73" t="s">
        <v>347</v>
      </c>
      <c r="AR125" s="146">
        <f t="shared" si="66"/>
        <v>199.142</v>
      </c>
      <c r="AS125" s="146">
        <f t="shared" si="67"/>
        <v>-0.31900000000001683</v>
      </c>
    </row>
    <row r="126" spans="1:45" s="22" customFormat="1" ht="58.5" customHeight="1" x14ac:dyDescent="0.25">
      <c r="A126" s="73"/>
      <c r="B126" s="72" t="s">
        <v>332</v>
      </c>
      <c r="C126" s="73" t="s">
        <v>333</v>
      </c>
      <c r="D126" s="73" t="s">
        <v>334</v>
      </c>
      <c r="E126" s="71">
        <f t="shared" si="77"/>
        <v>700</v>
      </c>
      <c r="F126" s="71"/>
      <c r="G126" s="71">
        <v>350</v>
      </c>
      <c r="H126" s="71">
        <v>70</v>
      </c>
      <c r="I126" s="71">
        <v>280</v>
      </c>
      <c r="J126" s="71">
        <v>620</v>
      </c>
      <c r="K126" s="71"/>
      <c r="L126" s="99">
        <f t="shared" si="78"/>
        <v>420</v>
      </c>
      <c r="M126" s="71"/>
      <c r="N126" s="71">
        <v>350</v>
      </c>
      <c r="O126" s="71">
        <v>70</v>
      </c>
      <c r="P126" s="99"/>
      <c r="Q126" s="71">
        <f t="shared" si="76"/>
        <v>0</v>
      </c>
      <c r="R126" s="71"/>
      <c r="S126" s="71"/>
      <c r="T126" s="71"/>
      <c r="U126" s="99"/>
      <c r="V126" s="126">
        <f t="shared" si="79"/>
        <v>199.66800000000001</v>
      </c>
      <c r="W126" s="126"/>
      <c r="X126" s="126"/>
      <c r="Y126" s="126"/>
      <c r="Z126" s="126">
        <v>199.66800000000001</v>
      </c>
      <c r="AA126" s="71"/>
      <c r="AB126" s="71"/>
      <c r="AC126" s="71"/>
      <c r="AD126" s="71"/>
      <c r="AE126" s="71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73" t="s">
        <v>347</v>
      </c>
      <c r="AR126" s="146">
        <f t="shared" si="66"/>
        <v>200</v>
      </c>
      <c r="AS126" s="146">
        <f t="shared" si="67"/>
        <v>0.33199999999999363</v>
      </c>
    </row>
    <row r="127" spans="1:45" s="22" customFormat="1" ht="52.8" x14ac:dyDescent="0.25">
      <c r="B127" s="100" t="s">
        <v>335</v>
      </c>
      <c r="C127" s="73" t="s">
        <v>336</v>
      </c>
      <c r="D127" s="73" t="s">
        <v>337</v>
      </c>
      <c r="E127" s="71">
        <f t="shared" si="77"/>
        <v>1130</v>
      </c>
      <c r="F127" s="71"/>
      <c r="G127" s="71">
        <v>565</v>
      </c>
      <c r="H127" s="71">
        <v>113</v>
      </c>
      <c r="I127" s="71">
        <v>452</v>
      </c>
      <c r="J127" s="71">
        <v>1041</v>
      </c>
      <c r="K127" s="71"/>
      <c r="L127" s="99">
        <f t="shared" si="78"/>
        <v>701.67700000000002</v>
      </c>
      <c r="M127" s="71"/>
      <c r="N127" s="71">
        <v>565</v>
      </c>
      <c r="O127" s="71">
        <v>113</v>
      </c>
      <c r="P127" s="99">
        <v>23.677</v>
      </c>
      <c r="Q127" s="71">
        <f t="shared" si="76"/>
        <v>0</v>
      </c>
      <c r="R127" s="71"/>
      <c r="S127" s="71"/>
      <c r="T127" s="71"/>
      <c r="U127" s="99"/>
      <c r="V127" s="126">
        <f t="shared" si="79"/>
        <v>339.32299999999998</v>
      </c>
      <c r="W127" s="126"/>
      <c r="X127" s="126"/>
      <c r="Y127" s="126"/>
      <c r="Z127" s="126">
        <v>339.32299999999998</v>
      </c>
      <c r="AA127" s="71"/>
      <c r="AB127" s="71"/>
      <c r="AC127" s="71"/>
      <c r="AD127" s="71"/>
      <c r="AE127" s="71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73" t="s">
        <v>347</v>
      </c>
      <c r="AR127" s="146">
        <f t="shared" si="66"/>
        <v>339.32299999999998</v>
      </c>
      <c r="AS127" s="146">
        <f t="shared" si="67"/>
        <v>0</v>
      </c>
    </row>
    <row r="128" spans="1:45" s="22" customFormat="1" ht="75" customHeight="1" x14ac:dyDescent="0.25">
      <c r="A128" s="73"/>
      <c r="B128" s="101" t="s">
        <v>338</v>
      </c>
      <c r="C128" s="73" t="s">
        <v>339</v>
      </c>
      <c r="D128" s="73" t="s">
        <v>340</v>
      </c>
      <c r="E128" s="71">
        <f t="shared" si="77"/>
        <v>900</v>
      </c>
      <c r="F128" s="71"/>
      <c r="G128" s="71">
        <v>720</v>
      </c>
      <c r="H128" s="71">
        <v>90</v>
      </c>
      <c r="I128" s="71">
        <v>90</v>
      </c>
      <c r="J128" s="71">
        <v>836</v>
      </c>
      <c r="K128" s="71"/>
      <c r="L128" s="99">
        <f t="shared" si="78"/>
        <v>810</v>
      </c>
      <c r="M128" s="71"/>
      <c r="N128" s="71">
        <v>720</v>
      </c>
      <c r="O128" s="71">
        <v>90</v>
      </c>
      <c r="P128" s="99"/>
      <c r="Q128" s="71">
        <f t="shared" si="76"/>
        <v>0</v>
      </c>
      <c r="R128" s="71"/>
      <c r="S128" s="71"/>
      <c r="T128" s="71"/>
      <c r="U128" s="99"/>
      <c r="V128" s="126">
        <f t="shared" si="79"/>
        <v>25.763000000000002</v>
      </c>
      <c r="W128" s="126"/>
      <c r="X128" s="126"/>
      <c r="Y128" s="126"/>
      <c r="Z128" s="126">
        <v>25.763000000000002</v>
      </c>
      <c r="AA128" s="71"/>
      <c r="AB128" s="71"/>
      <c r="AC128" s="71"/>
      <c r="AD128" s="71"/>
      <c r="AE128" s="71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73" t="s">
        <v>347</v>
      </c>
      <c r="AR128" s="146">
        <f t="shared" si="66"/>
        <v>26</v>
      </c>
      <c r="AS128" s="146">
        <f t="shared" si="67"/>
        <v>0.23699999999999832</v>
      </c>
    </row>
    <row r="129" spans="1:45" s="22" customFormat="1" ht="52.8" x14ac:dyDescent="0.25">
      <c r="A129" s="73"/>
      <c r="B129" s="102" t="s">
        <v>341</v>
      </c>
      <c r="C129" s="73" t="s">
        <v>342</v>
      </c>
      <c r="D129" s="73" t="s">
        <v>343</v>
      </c>
      <c r="E129" s="71">
        <f t="shared" si="77"/>
        <v>800</v>
      </c>
      <c r="F129" s="71">
        <v>480</v>
      </c>
      <c r="G129" s="71"/>
      <c r="H129" s="71"/>
      <c r="I129" s="71">
        <v>320</v>
      </c>
      <c r="J129" s="71">
        <v>775</v>
      </c>
      <c r="K129" s="71"/>
      <c r="L129" s="99">
        <f t="shared" si="78"/>
        <v>510.50700000000001</v>
      </c>
      <c r="M129" s="71">
        <v>480</v>
      </c>
      <c r="N129" s="71"/>
      <c r="O129" s="71">
        <f>T129</f>
        <v>13.218</v>
      </c>
      <c r="P129" s="99">
        <f>U129</f>
        <v>17.289000000000001</v>
      </c>
      <c r="Q129" s="71">
        <f>SUM(R129:U129)</f>
        <v>30.507000000000001</v>
      </c>
      <c r="R129" s="71"/>
      <c r="S129" s="71"/>
      <c r="T129" s="71">
        <v>13.218</v>
      </c>
      <c r="U129" s="99">
        <v>17.289000000000001</v>
      </c>
      <c r="V129" s="126">
        <f t="shared" si="79"/>
        <v>264.16500000000002</v>
      </c>
      <c r="W129" s="126"/>
      <c r="X129" s="126"/>
      <c r="Y129" s="126"/>
      <c r="Z129" s="126">
        <v>264.16500000000002</v>
      </c>
      <c r="AA129" s="71"/>
      <c r="AB129" s="71"/>
      <c r="AC129" s="71"/>
      <c r="AD129" s="71"/>
      <c r="AE129" s="71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73" t="s">
        <v>347</v>
      </c>
      <c r="AR129" s="146">
        <f t="shared" si="66"/>
        <v>264.49299999999999</v>
      </c>
      <c r="AS129" s="146">
        <f t="shared" si="67"/>
        <v>0.32799999999997453</v>
      </c>
    </row>
    <row r="130" spans="1:45" s="22" customFormat="1" ht="65.25" customHeight="1" x14ac:dyDescent="0.25">
      <c r="A130" s="73"/>
      <c r="B130" s="102" t="s">
        <v>344</v>
      </c>
      <c r="C130" s="73" t="s">
        <v>345</v>
      </c>
      <c r="D130" s="73" t="s">
        <v>346</v>
      </c>
      <c r="E130" s="71">
        <f t="shared" si="77"/>
        <v>2850</v>
      </c>
      <c r="F130" s="71"/>
      <c r="G130" s="71">
        <v>1995</v>
      </c>
      <c r="H130" s="71">
        <v>570</v>
      </c>
      <c r="I130" s="71">
        <v>285</v>
      </c>
      <c r="J130" s="71">
        <v>2512</v>
      </c>
      <c r="K130" s="71"/>
      <c r="L130" s="71">
        <f t="shared" si="78"/>
        <v>2313</v>
      </c>
      <c r="M130" s="71"/>
      <c r="N130" s="71">
        <v>1743</v>
      </c>
      <c r="O130" s="71">
        <v>570</v>
      </c>
      <c r="P130" s="99"/>
      <c r="Q130" s="71">
        <f>SUM(R130:U130)</f>
        <v>0</v>
      </c>
      <c r="R130" s="71"/>
      <c r="S130" s="71"/>
      <c r="T130" s="71"/>
      <c r="U130" s="99"/>
      <c r="V130" s="126">
        <f t="shared" si="79"/>
        <v>198.76900000000001</v>
      </c>
      <c r="W130" s="126"/>
      <c r="X130" s="126"/>
      <c r="Y130" s="126"/>
      <c r="Z130" s="126">
        <v>198.76900000000001</v>
      </c>
      <c r="AA130" s="71"/>
      <c r="AB130" s="71"/>
      <c r="AC130" s="71"/>
      <c r="AD130" s="71"/>
      <c r="AE130" s="71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73" t="s">
        <v>347</v>
      </c>
      <c r="AR130" s="146">
        <f t="shared" si="66"/>
        <v>199</v>
      </c>
      <c r="AS130" s="146">
        <f t="shared" si="67"/>
        <v>0.23099999999999454</v>
      </c>
    </row>
    <row r="131" spans="1:45" s="97" customFormat="1" ht="45" customHeight="1" x14ac:dyDescent="0.25">
      <c r="A131" s="33" t="s">
        <v>325</v>
      </c>
      <c r="B131" s="34" t="s">
        <v>349</v>
      </c>
      <c r="C131" s="98"/>
      <c r="D131" s="10"/>
      <c r="E131" s="11">
        <f>SUM(E132:E134)</f>
        <v>5969</v>
      </c>
      <c r="F131" s="11">
        <f t="shared" ref="F131:U131" si="80">SUM(F132:F134)</f>
        <v>0</v>
      </c>
      <c r="G131" s="11">
        <f t="shared" si="80"/>
        <v>3516</v>
      </c>
      <c r="H131" s="11">
        <f t="shared" si="80"/>
        <v>2453</v>
      </c>
      <c r="I131" s="11">
        <f t="shared" si="80"/>
        <v>0</v>
      </c>
      <c r="J131" s="11">
        <f t="shared" si="80"/>
        <v>5547.6679999999997</v>
      </c>
      <c r="K131" s="11">
        <f t="shared" si="80"/>
        <v>0</v>
      </c>
      <c r="L131" s="11">
        <f t="shared" si="80"/>
        <v>5547.6679999999997</v>
      </c>
      <c r="M131" s="11">
        <f t="shared" si="80"/>
        <v>0</v>
      </c>
      <c r="N131" s="11">
        <f t="shared" si="80"/>
        <v>3516</v>
      </c>
      <c r="O131" s="11">
        <f t="shared" si="80"/>
        <v>150</v>
      </c>
      <c r="P131" s="11">
        <f t="shared" si="80"/>
        <v>1881.6679999999999</v>
      </c>
      <c r="Q131" s="11">
        <f t="shared" si="80"/>
        <v>641.69499999999994</v>
      </c>
      <c r="R131" s="11">
        <f t="shared" si="80"/>
        <v>0</v>
      </c>
      <c r="S131" s="11">
        <f t="shared" si="80"/>
        <v>0</v>
      </c>
      <c r="T131" s="11">
        <f t="shared" si="80"/>
        <v>0</v>
      </c>
      <c r="U131" s="11">
        <f t="shared" si="80"/>
        <v>641.69499999999994</v>
      </c>
      <c r="V131" s="124">
        <f t="shared" ref="V131" si="81">SUM(V132:V134)</f>
        <v>0</v>
      </c>
      <c r="W131" s="124">
        <f t="shared" ref="W131" si="82">SUM(W132:W134)</f>
        <v>0</v>
      </c>
      <c r="X131" s="124">
        <f t="shared" ref="X131" si="83">SUM(X132:X134)</f>
        <v>0</v>
      </c>
      <c r="Y131" s="124">
        <f t="shared" ref="Y131" si="84">SUM(Y132:Y134)</f>
        <v>0</v>
      </c>
      <c r="Z131" s="124">
        <v>0</v>
      </c>
      <c r="AA131" s="11"/>
      <c r="AB131" s="11"/>
      <c r="AC131" s="11"/>
      <c r="AD131" s="11"/>
      <c r="AE131" s="11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86"/>
      <c r="AR131" s="146">
        <f t="shared" si="66"/>
        <v>0</v>
      </c>
      <c r="AS131" s="146">
        <f t="shared" si="67"/>
        <v>0</v>
      </c>
    </row>
    <row r="132" spans="1:45" ht="52.8" x14ac:dyDescent="0.25">
      <c r="A132" s="6">
        <v>1</v>
      </c>
      <c r="B132" s="122" t="s">
        <v>350</v>
      </c>
      <c r="C132" s="13" t="s">
        <v>351</v>
      </c>
      <c r="D132" s="13" t="s">
        <v>352</v>
      </c>
      <c r="E132" s="71">
        <v>1919</v>
      </c>
      <c r="F132" s="71"/>
      <c r="G132" s="71">
        <v>1236</v>
      </c>
      <c r="H132" s="71">
        <f>E132-G132</f>
        <v>683</v>
      </c>
      <c r="I132" s="71"/>
      <c r="J132" s="71">
        <v>1750</v>
      </c>
      <c r="K132" s="71"/>
      <c r="L132" s="71">
        <f>SUM(M132:P132)</f>
        <v>1750</v>
      </c>
      <c r="M132" s="71"/>
      <c r="N132" s="71">
        <v>1236</v>
      </c>
      <c r="O132" s="71">
        <v>0</v>
      </c>
      <c r="P132" s="71">
        <f>335.226+146.524+32.25</f>
        <v>514</v>
      </c>
      <c r="Q132" s="71">
        <f>U132</f>
        <v>32.25</v>
      </c>
      <c r="R132" s="71"/>
      <c r="S132" s="71"/>
      <c r="T132" s="71"/>
      <c r="U132" s="71">
        <v>32.25</v>
      </c>
      <c r="V132" s="126">
        <f>SUM(W132:Z132)</f>
        <v>0</v>
      </c>
      <c r="W132" s="126"/>
      <c r="X132" s="126"/>
      <c r="Y132" s="126"/>
      <c r="Z132" s="126">
        <v>0</v>
      </c>
      <c r="AA132" s="71"/>
      <c r="AB132" s="71"/>
      <c r="AC132" s="71"/>
      <c r="AD132" s="71"/>
      <c r="AE132" s="71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0" t="s">
        <v>347</v>
      </c>
      <c r="AR132" s="146">
        <f t="shared" si="66"/>
        <v>0</v>
      </c>
      <c r="AS132" s="146">
        <f t="shared" si="67"/>
        <v>0</v>
      </c>
    </row>
    <row r="133" spans="1:45" ht="52.8" x14ac:dyDescent="0.25">
      <c r="A133" s="6">
        <v>2</v>
      </c>
      <c r="B133" s="122" t="s">
        <v>353</v>
      </c>
      <c r="C133" s="13" t="s">
        <v>354</v>
      </c>
      <c r="D133" s="13" t="s">
        <v>355</v>
      </c>
      <c r="E133" s="71">
        <v>2550</v>
      </c>
      <c r="F133" s="71"/>
      <c r="G133" s="71">
        <v>1530</v>
      </c>
      <c r="H133" s="71">
        <f t="shared" ref="H133:H134" si="85">E133-G133</f>
        <v>1020</v>
      </c>
      <c r="I133" s="71"/>
      <c r="J133" s="71">
        <v>2332</v>
      </c>
      <c r="K133" s="71"/>
      <c r="L133" s="71">
        <f t="shared" ref="L133:L134" si="86">SUM(M133:P133)</f>
        <v>2332</v>
      </c>
      <c r="M133" s="71"/>
      <c r="N133" s="71">
        <v>1530</v>
      </c>
      <c r="O133" s="71">
        <v>0</v>
      </c>
      <c r="P133" s="71">
        <f>557.946+54.577+77.4048+68.2952+43.777</f>
        <v>802.00000000000011</v>
      </c>
      <c r="Q133" s="71">
        <f t="shared" ref="Q133:Q136" si="87">U133</f>
        <v>43.777000000000044</v>
      </c>
      <c r="R133" s="71"/>
      <c r="S133" s="71"/>
      <c r="T133" s="71"/>
      <c r="U133" s="71">
        <v>43.777000000000044</v>
      </c>
      <c r="V133" s="126">
        <f t="shared" ref="V133:V136" si="88">SUM(W133:Z133)</f>
        <v>0</v>
      </c>
      <c r="W133" s="126"/>
      <c r="X133" s="126"/>
      <c r="Y133" s="126"/>
      <c r="Z133" s="126">
        <v>0</v>
      </c>
      <c r="AA133" s="71"/>
      <c r="AB133" s="71"/>
      <c r="AC133" s="71"/>
      <c r="AD133" s="71"/>
      <c r="AE133" s="71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1"/>
      <c r="AR133" s="146">
        <f t="shared" si="66"/>
        <v>0</v>
      </c>
      <c r="AS133" s="146">
        <f t="shared" si="67"/>
        <v>0</v>
      </c>
    </row>
    <row r="134" spans="1:45" ht="52.8" x14ac:dyDescent="0.25">
      <c r="A134" s="6">
        <v>3</v>
      </c>
      <c r="B134" s="122" t="s">
        <v>356</v>
      </c>
      <c r="C134" s="13" t="s">
        <v>357</v>
      </c>
      <c r="D134" s="13" t="s">
        <v>358</v>
      </c>
      <c r="E134" s="71">
        <v>1500</v>
      </c>
      <c r="F134" s="71"/>
      <c r="G134" s="71">
        <v>750</v>
      </c>
      <c r="H134" s="71">
        <f t="shared" si="85"/>
        <v>750</v>
      </c>
      <c r="I134" s="71"/>
      <c r="J134" s="71">
        <v>1465.6679999999999</v>
      </c>
      <c r="K134" s="71"/>
      <c r="L134" s="71">
        <f t="shared" si="86"/>
        <v>1465.6679999999999</v>
      </c>
      <c r="M134" s="71"/>
      <c r="N134" s="71">
        <v>750</v>
      </c>
      <c r="O134" s="71">
        <v>150</v>
      </c>
      <c r="P134" s="71">
        <v>565.66799999999989</v>
      </c>
      <c r="Q134" s="71">
        <f t="shared" si="87"/>
        <v>565.66799999999989</v>
      </c>
      <c r="R134" s="71"/>
      <c r="S134" s="71"/>
      <c r="T134" s="71"/>
      <c r="U134" s="71">
        <v>565.66799999999989</v>
      </c>
      <c r="V134" s="126">
        <f t="shared" si="88"/>
        <v>0</v>
      </c>
      <c r="W134" s="126"/>
      <c r="X134" s="126"/>
      <c r="Y134" s="126"/>
      <c r="Z134" s="126">
        <v>0</v>
      </c>
      <c r="AA134" s="71"/>
      <c r="AB134" s="71"/>
      <c r="AC134" s="71"/>
      <c r="AD134" s="71"/>
      <c r="AE134" s="71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2"/>
      <c r="AR134" s="146">
        <f t="shared" si="66"/>
        <v>0</v>
      </c>
      <c r="AS134" s="146">
        <f t="shared" si="67"/>
        <v>0</v>
      </c>
    </row>
    <row r="135" spans="1:45" x14ac:dyDescent="0.25">
      <c r="A135" s="33" t="s">
        <v>348</v>
      </c>
      <c r="B135" s="34" t="s">
        <v>360</v>
      </c>
      <c r="C135" s="105"/>
      <c r="D135" s="105"/>
      <c r="E135" s="107">
        <f>E136</f>
        <v>3040</v>
      </c>
      <c r="F135" s="107">
        <f t="shared" ref="F135:U135" si="89">F136</f>
        <v>0</v>
      </c>
      <c r="G135" s="107">
        <f t="shared" si="89"/>
        <v>1520</v>
      </c>
      <c r="H135" s="107">
        <f t="shared" si="89"/>
        <v>304</v>
      </c>
      <c r="I135" s="107">
        <f t="shared" si="89"/>
        <v>1216</v>
      </c>
      <c r="J135" s="107">
        <f t="shared" si="89"/>
        <v>2999.1</v>
      </c>
      <c r="K135" s="107">
        <f t="shared" si="89"/>
        <v>0</v>
      </c>
      <c r="L135" s="107">
        <f t="shared" si="89"/>
        <v>2999.1</v>
      </c>
      <c r="M135" s="107">
        <f t="shared" si="89"/>
        <v>0</v>
      </c>
      <c r="N135" s="107">
        <f t="shared" si="89"/>
        <v>1520</v>
      </c>
      <c r="O135" s="107">
        <f t="shared" si="89"/>
        <v>304</v>
      </c>
      <c r="P135" s="107">
        <f t="shared" si="89"/>
        <v>1175.0999999999999</v>
      </c>
      <c r="Q135" s="107">
        <f t="shared" si="89"/>
        <v>1175.0999999999999</v>
      </c>
      <c r="R135" s="107">
        <f t="shared" si="89"/>
        <v>0</v>
      </c>
      <c r="S135" s="107">
        <f t="shared" si="89"/>
        <v>0</v>
      </c>
      <c r="T135" s="107">
        <f t="shared" si="89"/>
        <v>0</v>
      </c>
      <c r="U135" s="107">
        <f t="shared" si="89"/>
        <v>1175.0999999999999</v>
      </c>
      <c r="V135" s="154">
        <f t="shared" ref="V135" si="90">V136</f>
        <v>0</v>
      </c>
      <c r="W135" s="154">
        <f t="shared" ref="W135" si="91">W136</f>
        <v>0</v>
      </c>
      <c r="X135" s="154">
        <f t="shared" ref="X135" si="92">X136</f>
        <v>0</v>
      </c>
      <c r="Y135" s="154">
        <f t="shared" ref="Y135" si="93">Y136</f>
        <v>0</v>
      </c>
      <c r="Z135" s="154">
        <f t="shared" ref="Z135" si="94">Z136</f>
        <v>0</v>
      </c>
      <c r="AA135" s="107"/>
      <c r="AB135" s="107"/>
      <c r="AC135" s="107"/>
      <c r="AD135" s="107"/>
      <c r="AE135" s="10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04"/>
      <c r="AR135" s="146">
        <f t="shared" si="66"/>
        <v>0</v>
      </c>
      <c r="AS135" s="146">
        <f t="shared" si="67"/>
        <v>0</v>
      </c>
    </row>
    <row r="136" spans="1:45" s="22" customFormat="1" ht="62.25" customHeight="1" x14ac:dyDescent="0.25">
      <c r="A136" s="10">
        <v>1</v>
      </c>
      <c r="B136" s="24" t="s">
        <v>361</v>
      </c>
      <c r="C136" s="108" t="s">
        <v>362</v>
      </c>
      <c r="D136" s="10" t="s">
        <v>363</v>
      </c>
      <c r="E136" s="17">
        <v>3040</v>
      </c>
      <c r="F136" s="17">
        <v>0</v>
      </c>
      <c r="G136" s="17">
        <v>1520</v>
      </c>
      <c r="H136" s="17">
        <v>304</v>
      </c>
      <c r="I136" s="17">
        <v>1216</v>
      </c>
      <c r="J136" s="109">
        <v>2999.1</v>
      </c>
      <c r="K136" s="109"/>
      <c r="L136" s="109">
        <f>N136+O136+P136</f>
        <v>2999.1</v>
      </c>
      <c r="M136" s="109"/>
      <c r="N136" s="109">
        <v>1520</v>
      </c>
      <c r="O136" s="109">
        <v>304</v>
      </c>
      <c r="P136" s="109">
        <f>643.1+532</f>
        <v>1175.0999999999999</v>
      </c>
      <c r="Q136" s="71">
        <f t="shared" si="87"/>
        <v>1175.0999999999999</v>
      </c>
      <c r="R136" s="109"/>
      <c r="S136" s="109"/>
      <c r="T136" s="109"/>
      <c r="U136" s="109">
        <f>643.1+532</f>
        <v>1175.0999999999999</v>
      </c>
      <c r="V136" s="126">
        <f t="shared" si="88"/>
        <v>0</v>
      </c>
      <c r="W136" s="125"/>
      <c r="X136" s="125"/>
      <c r="Y136" s="125"/>
      <c r="Z136" s="125">
        <v>0</v>
      </c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84" t="s">
        <v>347</v>
      </c>
      <c r="AR136" s="146">
        <f t="shared" ref="AR136:AR153" si="95">J136-L136</f>
        <v>0</v>
      </c>
      <c r="AS136" s="146">
        <f t="shared" ref="AS136:AS153" si="96">AR136-Z136</f>
        <v>0</v>
      </c>
    </row>
    <row r="137" spans="1:45" x14ac:dyDescent="0.25">
      <c r="A137" s="33" t="s">
        <v>359</v>
      </c>
      <c r="B137" s="34" t="s">
        <v>364</v>
      </c>
      <c r="C137" s="105"/>
      <c r="D137" s="105"/>
      <c r="E137" s="106">
        <f>SUM(E138:E153)</f>
        <v>15163.837456000001</v>
      </c>
      <c r="F137" s="106">
        <f t="shared" ref="F137:U137" si="97">SUM(F138:F153)</f>
        <v>900</v>
      </c>
      <c r="G137" s="106">
        <f t="shared" si="97"/>
        <v>7338</v>
      </c>
      <c r="H137" s="106">
        <f t="shared" si="97"/>
        <v>1778</v>
      </c>
      <c r="I137" s="106">
        <f t="shared" si="97"/>
        <v>5147.8374559999993</v>
      </c>
      <c r="J137" s="106">
        <f t="shared" si="97"/>
        <v>14805.843780000001</v>
      </c>
      <c r="K137" s="106">
        <f t="shared" si="97"/>
        <v>0</v>
      </c>
      <c r="L137" s="106">
        <f t="shared" si="97"/>
        <v>13191.313455</v>
      </c>
      <c r="M137" s="106">
        <f t="shared" si="97"/>
        <v>862.56</v>
      </c>
      <c r="N137" s="106">
        <f t="shared" si="97"/>
        <v>7338</v>
      </c>
      <c r="O137" s="106">
        <f t="shared" si="97"/>
        <v>1778</v>
      </c>
      <c r="P137" s="106">
        <f t="shared" si="97"/>
        <v>3212.753455</v>
      </c>
      <c r="Q137" s="106">
        <f t="shared" si="97"/>
        <v>1981.3719999999998</v>
      </c>
      <c r="R137" s="106">
        <f t="shared" si="97"/>
        <v>862.56</v>
      </c>
      <c r="S137" s="106">
        <f t="shared" si="97"/>
        <v>0</v>
      </c>
      <c r="T137" s="106">
        <f t="shared" si="97"/>
        <v>113</v>
      </c>
      <c r="U137" s="106">
        <f t="shared" si="97"/>
        <v>1005.812</v>
      </c>
      <c r="V137" s="155">
        <f t="shared" ref="V137" si="98">SUM(V138:V153)</f>
        <v>1614.3760949999999</v>
      </c>
      <c r="W137" s="155">
        <f t="shared" ref="W137" si="99">SUM(W138:W153)</f>
        <v>0</v>
      </c>
      <c r="X137" s="155">
        <f t="shared" ref="X137" si="100">SUM(X138:X153)</f>
        <v>0</v>
      </c>
      <c r="Y137" s="155">
        <f t="shared" ref="Y137" si="101">SUM(Y138:Y153)</f>
        <v>0</v>
      </c>
      <c r="Z137" s="155">
        <f t="shared" ref="Z137" si="102">SUM(Z138:Z153)</f>
        <v>1614.3760949999999</v>
      </c>
      <c r="AA137" s="106"/>
      <c r="AB137" s="106"/>
      <c r="AC137" s="106"/>
      <c r="AD137" s="106"/>
      <c r="AE137" s="106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03"/>
      <c r="AR137" s="146">
        <f t="shared" si="95"/>
        <v>1614.5303250000015</v>
      </c>
      <c r="AS137" s="146">
        <f t="shared" si="96"/>
        <v>0.1542300000016894</v>
      </c>
    </row>
    <row r="138" spans="1:45" s="22" customFormat="1" ht="52.8" x14ac:dyDescent="0.25">
      <c r="A138" s="10">
        <v>1</v>
      </c>
      <c r="B138" s="110" t="s">
        <v>365</v>
      </c>
      <c r="C138" s="111" t="s">
        <v>366</v>
      </c>
      <c r="D138" s="10" t="s">
        <v>367</v>
      </c>
      <c r="E138" s="17">
        <f t="shared" ref="E138:E142" si="103">SUM(F138:I138)</f>
        <v>1075</v>
      </c>
      <c r="F138" s="17"/>
      <c r="G138" s="17">
        <v>753</v>
      </c>
      <c r="H138" s="17">
        <v>215</v>
      </c>
      <c r="I138" s="17">
        <v>107</v>
      </c>
      <c r="J138" s="17">
        <v>1021.293</v>
      </c>
      <c r="K138" s="17"/>
      <c r="L138" s="17">
        <f t="shared" ref="L138:L142" si="104">SUM(M138:P138)</f>
        <v>968</v>
      </c>
      <c r="M138" s="17"/>
      <c r="N138" s="17">
        <v>753</v>
      </c>
      <c r="O138" s="17">
        <v>215</v>
      </c>
      <c r="P138" s="17"/>
      <c r="Q138" s="17">
        <f t="shared" ref="Q138:Q142" si="105">SUM(R138:U138)</f>
        <v>0</v>
      </c>
      <c r="R138" s="17"/>
      <c r="S138" s="17"/>
      <c r="T138" s="17"/>
      <c r="U138" s="17"/>
      <c r="V138" s="125">
        <f>SUM(W138:Z138)</f>
        <v>53.293000000000006</v>
      </c>
      <c r="W138" s="125"/>
      <c r="X138" s="125"/>
      <c r="Y138" s="125"/>
      <c r="Z138" s="125">
        <v>53.293000000000006</v>
      </c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0" t="s">
        <v>347</v>
      </c>
      <c r="AR138" s="146">
        <f t="shared" si="95"/>
        <v>53.293000000000006</v>
      </c>
      <c r="AS138" s="146">
        <f t="shared" si="96"/>
        <v>0</v>
      </c>
    </row>
    <row r="139" spans="1:45" s="22" customFormat="1" ht="66" customHeight="1" x14ac:dyDescent="0.25">
      <c r="A139" s="10">
        <v>2</v>
      </c>
      <c r="B139" s="110" t="s">
        <v>368</v>
      </c>
      <c r="C139" s="111" t="s">
        <v>366</v>
      </c>
      <c r="D139" s="10" t="s">
        <v>369</v>
      </c>
      <c r="E139" s="17">
        <f t="shared" si="103"/>
        <v>1100</v>
      </c>
      <c r="F139" s="17"/>
      <c r="G139" s="17">
        <v>770</v>
      </c>
      <c r="H139" s="17">
        <v>220</v>
      </c>
      <c r="I139" s="17">
        <v>110</v>
      </c>
      <c r="J139" s="17">
        <v>1086.893</v>
      </c>
      <c r="K139" s="17"/>
      <c r="L139" s="17">
        <f t="shared" si="104"/>
        <v>990</v>
      </c>
      <c r="M139" s="17"/>
      <c r="N139" s="17">
        <v>770</v>
      </c>
      <c r="O139" s="17">
        <v>220</v>
      </c>
      <c r="P139" s="17"/>
      <c r="Q139" s="17">
        <f t="shared" si="105"/>
        <v>0</v>
      </c>
      <c r="R139" s="17"/>
      <c r="S139" s="17"/>
      <c r="T139" s="17"/>
      <c r="U139" s="17"/>
      <c r="V139" s="125">
        <f t="shared" ref="V139:V153" si="106">SUM(W139:Z139)</f>
        <v>96.893000000000029</v>
      </c>
      <c r="W139" s="125"/>
      <c r="X139" s="125"/>
      <c r="Y139" s="125"/>
      <c r="Z139" s="125">
        <v>96.893000000000029</v>
      </c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1"/>
      <c r="AR139" s="146">
        <f t="shared" si="95"/>
        <v>96.893000000000029</v>
      </c>
      <c r="AS139" s="146">
        <f t="shared" si="96"/>
        <v>0</v>
      </c>
    </row>
    <row r="140" spans="1:45" s="22" customFormat="1" ht="66" customHeight="1" x14ac:dyDescent="0.25">
      <c r="A140" s="10">
        <v>3</v>
      </c>
      <c r="B140" s="110" t="s">
        <v>370</v>
      </c>
      <c r="C140" s="111" t="s">
        <v>366</v>
      </c>
      <c r="D140" s="10" t="s">
        <v>371</v>
      </c>
      <c r="E140" s="17">
        <f t="shared" si="103"/>
        <v>844.04829500000005</v>
      </c>
      <c r="F140" s="17"/>
      <c r="G140" s="17">
        <v>595</v>
      </c>
      <c r="H140" s="17">
        <v>170</v>
      </c>
      <c r="I140" s="17">
        <v>79.048294999999996</v>
      </c>
      <c r="J140" s="17">
        <v>839.04899999999998</v>
      </c>
      <c r="K140" s="17"/>
      <c r="L140" s="17">
        <f t="shared" si="104"/>
        <v>823.875</v>
      </c>
      <c r="M140" s="17"/>
      <c r="N140" s="17">
        <v>595</v>
      </c>
      <c r="O140" s="17">
        <v>170</v>
      </c>
      <c r="P140" s="17">
        <f>49.77+9.105</f>
        <v>58.875</v>
      </c>
      <c r="Q140" s="17">
        <f t="shared" si="105"/>
        <v>58.875</v>
      </c>
      <c r="R140" s="17"/>
      <c r="S140" s="17"/>
      <c r="T140" s="17"/>
      <c r="U140" s="17">
        <f>49.77+9.105</f>
        <v>58.875</v>
      </c>
      <c r="V140" s="125">
        <f t="shared" si="106"/>
        <v>15.173999999999978</v>
      </c>
      <c r="W140" s="125"/>
      <c r="X140" s="125"/>
      <c r="Y140" s="125"/>
      <c r="Z140" s="125">
        <v>15.173999999999978</v>
      </c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1"/>
      <c r="AR140" s="146">
        <f t="shared" si="95"/>
        <v>15.173999999999978</v>
      </c>
      <c r="AS140" s="146">
        <f t="shared" si="96"/>
        <v>0</v>
      </c>
    </row>
    <row r="141" spans="1:45" s="22" customFormat="1" ht="66" customHeight="1" x14ac:dyDescent="0.25">
      <c r="A141" s="10">
        <v>4</v>
      </c>
      <c r="B141" s="110" t="s">
        <v>372</v>
      </c>
      <c r="C141" s="111" t="s">
        <v>366</v>
      </c>
      <c r="D141" s="10" t="s">
        <v>373</v>
      </c>
      <c r="E141" s="17">
        <f t="shared" si="103"/>
        <v>1100</v>
      </c>
      <c r="F141" s="17"/>
      <c r="G141" s="17">
        <v>770</v>
      </c>
      <c r="H141" s="17">
        <v>220</v>
      </c>
      <c r="I141" s="17">
        <v>110</v>
      </c>
      <c r="J141" s="17">
        <v>1073.0791999999999</v>
      </c>
      <c r="K141" s="17"/>
      <c r="L141" s="17">
        <f t="shared" si="104"/>
        <v>990</v>
      </c>
      <c r="M141" s="17"/>
      <c r="N141" s="17">
        <v>770</v>
      </c>
      <c r="O141" s="17">
        <v>220</v>
      </c>
      <c r="P141" s="17"/>
      <c r="Q141" s="17">
        <f t="shared" si="105"/>
        <v>0</v>
      </c>
      <c r="R141" s="17"/>
      <c r="S141" s="17"/>
      <c r="T141" s="17"/>
      <c r="U141" s="17"/>
      <c r="V141" s="125">
        <f t="shared" si="106"/>
        <v>83.079199999999901</v>
      </c>
      <c r="W141" s="125"/>
      <c r="X141" s="125"/>
      <c r="Y141" s="125"/>
      <c r="Z141" s="125">
        <v>83.079199999999901</v>
      </c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1"/>
      <c r="AR141" s="146">
        <f t="shared" si="95"/>
        <v>83.079199999999901</v>
      </c>
      <c r="AS141" s="146">
        <f t="shared" si="96"/>
        <v>0</v>
      </c>
    </row>
    <row r="142" spans="1:45" s="22" customFormat="1" ht="66" customHeight="1" x14ac:dyDescent="0.25">
      <c r="A142" s="10">
        <v>5</v>
      </c>
      <c r="B142" s="110" t="s">
        <v>374</v>
      </c>
      <c r="C142" s="111" t="s">
        <v>366</v>
      </c>
      <c r="D142" s="10" t="s">
        <v>375</v>
      </c>
      <c r="E142" s="17">
        <f t="shared" si="103"/>
        <v>1000</v>
      </c>
      <c r="F142" s="17"/>
      <c r="G142" s="17">
        <v>500</v>
      </c>
      <c r="H142" s="17">
        <v>100</v>
      </c>
      <c r="I142" s="17">
        <v>400</v>
      </c>
      <c r="J142" s="17">
        <v>986.02800000000002</v>
      </c>
      <c r="K142" s="17"/>
      <c r="L142" s="17">
        <f t="shared" si="104"/>
        <v>600</v>
      </c>
      <c r="M142" s="17"/>
      <c r="N142" s="17">
        <v>500</v>
      </c>
      <c r="O142" s="17">
        <v>100</v>
      </c>
      <c r="P142" s="17"/>
      <c r="Q142" s="17">
        <f t="shared" si="105"/>
        <v>0</v>
      </c>
      <c r="R142" s="17"/>
      <c r="S142" s="17"/>
      <c r="T142" s="17"/>
      <c r="U142" s="17"/>
      <c r="V142" s="125">
        <f t="shared" si="106"/>
        <v>386.02800000000002</v>
      </c>
      <c r="W142" s="125"/>
      <c r="X142" s="125"/>
      <c r="Y142" s="125"/>
      <c r="Z142" s="125">
        <v>386.02800000000002</v>
      </c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1"/>
      <c r="AR142" s="146">
        <f t="shared" si="95"/>
        <v>386.02800000000002</v>
      </c>
      <c r="AS142" s="146">
        <f t="shared" si="96"/>
        <v>0</v>
      </c>
    </row>
    <row r="143" spans="1:45" s="37" customFormat="1" ht="66" customHeight="1" x14ac:dyDescent="0.25">
      <c r="A143" s="35">
        <v>6</v>
      </c>
      <c r="B143" s="143" t="s">
        <v>376</v>
      </c>
      <c r="C143" s="144" t="s">
        <v>366</v>
      </c>
      <c r="D143" s="35" t="s">
        <v>377</v>
      </c>
      <c r="E143" s="38">
        <f>SUM(F143:I143)</f>
        <v>1099.8958050000001</v>
      </c>
      <c r="F143" s="38"/>
      <c r="G143" s="38">
        <v>550</v>
      </c>
      <c r="H143" s="38">
        <v>110</v>
      </c>
      <c r="I143" s="38">
        <v>439.895805</v>
      </c>
      <c r="J143" s="38">
        <v>1074.6016850000001</v>
      </c>
      <c r="K143" s="38"/>
      <c r="L143" s="38">
        <f>SUM(M143:P143)</f>
        <v>1074.447455</v>
      </c>
      <c r="M143" s="38"/>
      <c r="N143" s="38">
        <v>550</v>
      </c>
      <c r="O143" s="38">
        <v>110</v>
      </c>
      <c r="P143" s="38">
        <f>207.447455+207</f>
        <v>414.44745499999999</v>
      </c>
      <c r="Q143" s="38">
        <f>SUM(R143:U143)</f>
        <v>207.154</v>
      </c>
      <c r="R143" s="38"/>
      <c r="S143" s="38"/>
      <c r="T143" s="38"/>
      <c r="U143" s="38">
        <f>207.154</f>
        <v>207.154</v>
      </c>
      <c r="V143" s="125">
        <f t="shared" si="106"/>
        <v>0</v>
      </c>
      <c r="W143" s="48"/>
      <c r="X143" s="48"/>
      <c r="Y143" s="48"/>
      <c r="Z143" s="48">
        <v>0</v>
      </c>
      <c r="AA143" s="17"/>
      <c r="AB143" s="38"/>
      <c r="AC143" s="38"/>
      <c r="AD143" s="38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1"/>
      <c r="AR143" s="146">
        <f t="shared" si="95"/>
        <v>0.15423000000009779</v>
      </c>
      <c r="AS143" s="146">
        <f t="shared" si="96"/>
        <v>0.15423000000009779</v>
      </c>
    </row>
    <row r="144" spans="1:45" s="22" customFormat="1" ht="66" customHeight="1" x14ac:dyDescent="0.25">
      <c r="A144" s="10">
        <v>7</v>
      </c>
      <c r="B144" s="110" t="s">
        <v>378</v>
      </c>
      <c r="C144" s="111" t="s">
        <v>366</v>
      </c>
      <c r="D144" s="10" t="s">
        <v>379</v>
      </c>
      <c r="E144" s="17">
        <f t="shared" ref="E144:E153" si="107">SUM(F144:I144)</f>
        <v>1100</v>
      </c>
      <c r="F144" s="17"/>
      <c r="G144" s="17">
        <v>550</v>
      </c>
      <c r="H144" s="17">
        <v>110</v>
      </c>
      <c r="I144" s="17">
        <v>440</v>
      </c>
      <c r="J144" s="17">
        <v>1080.7539999999999</v>
      </c>
      <c r="K144" s="17"/>
      <c r="L144" s="17">
        <f t="shared" ref="L144:L153" si="108">SUM(M144:P144)</f>
        <v>1010</v>
      </c>
      <c r="M144" s="17"/>
      <c r="N144" s="17">
        <v>550</v>
      </c>
      <c r="O144" s="17">
        <v>110</v>
      </c>
      <c r="P144" s="17">
        <v>350</v>
      </c>
      <c r="Q144" s="17">
        <f t="shared" ref="Q144:Q153" si="109">SUM(R144:U144)</f>
        <v>350</v>
      </c>
      <c r="R144" s="17"/>
      <c r="S144" s="17"/>
      <c r="T144" s="17"/>
      <c r="U144" s="17">
        <v>350</v>
      </c>
      <c r="V144" s="125">
        <f t="shared" si="106"/>
        <v>70.753999999999905</v>
      </c>
      <c r="W144" s="125"/>
      <c r="X144" s="125"/>
      <c r="Y144" s="125"/>
      <c r="Z144" s="125">
        <v>70.753999999999905</v>
      </c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1"/>
      <c r="AR144" s="146">
        <f t="shared" si="95"/>
        <v>70.753999999999905</v>
      </c>
      <c r="AS144" s="146">
        <f t="shared" si="96"/>
        <v>0</v>
      </c>
    </row>
    <row r="145" spans="1:45" s="22" customFormat="1" ht="66" customHeight="1" x14ac:dyDescent="0.25">
      <c r="A145" s="10">
        <v>8</v>
      </c>
      <c r="B145" s="110" t="s">
        <v>380</v>
      </c>
      <c r="C145" s="111" t="s">
        <v>366</v>
      </c>
      <c r="D145" s="10" t="s">
        <v>381</v>
      </c>
      <c r="E145" s="17">
        <f t="shared" si="107"/>
        <v>800</v>
      </c>
      <c r="F145" s="17"/>
      <c r="G145" s="17">
        <v>480</v>
      </c>
      <c r="H145" s="17"/>
      <c r="I145" s="17">
        <v>320</v>
      </c>
      <c r="J145" s="17">
        <v>794.91600000000005</v>
      </c>
      <c r="K145" s="17"/>
      <c r="L145" s="17">
        <f t="shared" si="108"/>
        <v>480</v>
      </c>
      <c r="M145" s="17"/>
      <c r="N145" s="17">
        <v>480</v>
      </c>
      <c r="O145" s="17"/>
      <c r="P145" s="17"/>
      <c r="Q145" s="17">
        <f t="shared" si="109"/>
        <v>0</v>
      </c>
      <c r="R145" s="17"/>
      <c r="S145" s="17"/>
      <c r="T145" s="17"/>
      <c r="U145" s="17"/>
      <c r="V145" s="125">
        <f t="shared" si="106"/>
        <v>314.91600000000005</v>
      </c>
      <c r="W145" s="125"/>
      <c r="X145" s="125"/>
      <c r="Y145" s="125"/>
      <c r="Z145" s="125">
        <v>314.91600000000005</v>
      </c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1"/>
      <c r="AR145" s="146">
        <f t="shared" si="95"/>
        <v>314.91600000000005</v>
      </c>
      <c r="AS145" s="146">
        <f t="shared" si="96"/>
        <v>0</v>
      </c>
    </row>
    <row r="146" spans="1:45" s="22" customFormat="1" ht="66" customHeight="1" x14ac:dyDescent="0.25">
      <c r="A146" s="10">
        <v>9</v>
      </c>
      <c r="B146" s="110" t="s">
        <v>382</v>
      </c>
      <c r="C146" s="111" t="s">
        <v>366</v>
      </c>
      <c r="D146" s="10" t="s">
        <v>383</v>
      </c>
      <c r="E146" s="17">
        <f t="shared" si="107"/>
        <v>900</v>
      </c>
      <c r="F146" s="17"/>
      <c r="G146" s="17">
        <v>630</v>
      </c>
      <c r="H146" s="17">
        <v>180</v>
      </c>
      <c r="I146" s="17">
        <v>90</v>
      </c>
      <c r="J146" s="17">
        <v>884.67399999999998</v>
      </c>
      <c r="K146" s="17"/>
      <c r="L146" s="17">
        <f t="shared" si="108"/>
        <v>810</v>
      </c>
      <c r="M146" s="17"/>
      <c r="N146" s="17">
        <v>630</v>
      </c>
      <c r="O146" s="17">
        <v>180</v>
      </c>
      <c r="P146" s="17"/>
      <c r="Q146" s="17">
        <f t="shared" si="109"/>
        <v>0</v>
      </c>
      <c r="R146" s="17"/>
      <c r="S146" s="17"/>
      <c r="T146" s="17"/>
      <c r="U146" s="17"/>
      <c r="V146" s="125">
        <f t="shared" si="106"/>
        <v>74.673999999999978</v>
      </c>
      <c r="W146" s="125"/>
      <c r="X146" s="125"/>
      <c r="Y146" s="125"/>
      <c r="Z146" s="125">
        <v>74.673999999999978</v>
      </c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1"/>
      <c r="AR146" s="146">
        <f t="shared" si="95"/>
        <v>74.673999999999978</v>
      </c>
      <c r="AS146" s="146">
        <f t="shared" si="96"/>
        <v>0</v>
      </c>
    </row>
    <row r="147" spans="1:45" s="22" customFormat="1" ht="66" x14ac:dyDescent="0.25">
      <c r="A147" s="10">
        <v>10</v>
      </c>
      <c r="B147" s="110" t="s">
        <v>384</v>
      </c>
      <c r="C147" s="111" t="s">
        <v>366</v>
      </c>
      <c r="D147" s="10" t="s">
        <v>385</v>
      </c>
      <c r="E147" s="17">
        <f t="shared" si="107"/>
        <v>900</v>
      </c>
      <c r="F147" s="17"/>
      <c r="G147" s="17">
        <v>630</v>
      </c>
      <c r="H147" s="17">
        <v>180</v>
      </c>
      <c r="I147" s="17">
        <v>90</v>
      </c>
      <c r="J147" s="17">
        <v>891.74400000000003</v>
      </c>
      <c r="K147" s="17"/>
      <c r="L147" s="17">
        <f t="shared" si="108"/>
        <v>810</v>
      </c>
      <c r="M147" s="17"/>
      <c r="N147" s="17">
        <v>630</v>
      </c>
      <c r="O147" s="17">
        <v>180</v>
      </c>
      <c r="P147" s="17"/>
      <c r="Q147" s="17">
        <f t="shared" si="109"/>
        <v>0</v>
      </c>
      <c r="R147" s="17"/>
      <c r="S147" s="17"/>
      <c r="T147" s="17"/>
      <c r="U147" s="17"/>
      <c r="V147" s="125">
        <f t="shared" si="106"/>
        <v>81.744000000000028</v>
      </c>
      <c r="W147" s="125"/>
      <c r="X147" s="125"/>
      <c r="Y147" s="125"/>
      <c r="Z147" s="125">
        <v>81.744000000000028</v>
      </c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1"/>
      <c r="AR147" s="146">
        <f t="shared" si="95"/>
        <v>81.744000000000028</v>
      </c>
      <c r="AS147" s="146">
        <f t="shared" si="96"/>
        <v>0</v>
      </c>
    </row>
    <row r="148" spans="1:45" s="22" customFormat="1" ht="66" customHeight="1" x14ac:dyDescent="0.25">
      <c r="A148" s="10">
        <v>11</v>
      </c>
      <c r="B148" s="112" t="s">
        <v>386</v>
      </c>
      <c r="C148" s="111" t="s">
        <v>366</v>
      </c>
      <c r="D148" s="10" t="s">
        <v>387</v>
      </c>
      <c r="E148" s="17">
        <f t="shared" si="107"/>
        <v>800</v>
      </c>
      <c r="F148" s="17"/>
      <c r="G148" s="17">
        <v>560</v>
      </c>
      <c r="H148" s="17">
        <v>160</v>
      </c>
      <c r="I148" s="17">
        <v>80</v>
      </c>
      <c r="J148" s="17">
        <v>783.86300000000006</v>
      </c>
      <c r="K148" s="17"/>
      <c r="L148" s="17">
        <f t="shared" si="108"/>
        <v>720</v>
      </c>
      <c r="M148" s="17"/>
      <c r="N148" s="17">
        <v>560</v>
      </c>
      <c r="O148" s="17">
        <v>160</v>
      </c>
      <c r="P148" s="17"/>
      <c r="Q148" s="17">
        <f t="shared" si="109"/>
        <v>0</v>
      </c>
      <c r="R148" s="17"/>
      <c r="S148" s="17"/>
      <c r="T148" s="17"/>
      <c r="U148" s="17"/>
      <c r="V148" s="125">
        <f t="shared" si="106"/>
        <v>63.863000000000056</v>
      </c>
      <c r="W148" s="125"/>
      <c r="X148" s="125"/>
      <c r="Y148" s="125"/>
      <c r="Z148" s="125">
        <v>63.863000000000056</v>
      </c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1"/>
      <c r="AR148" s="146">
        <f t="shared" si="95"/>
        <v>63.863000000000056</v>
      </c>
      <c r="AS148" s="146">
        <f t="shared" si="96"/>
        <v>0</v>
      </c>
    </row>
    <row r="149" spans="1:45" s="22" customFormat="1" ht="66" customHeight="1" x14ac:dyDescent="0.25">
      <c r="A149" s="10">
        <v>12</v>
      </c>
      <c r="B149" s="112" t="s">
        <v>388</v>
      </c>
      <c r="C149" s="111" t="s">
        <v>366</v>
      </c>
      <c r="D149" s="10" t="s">
        <v>389</v>
      </c>
      <c r="E149" s="17">
        <f t="shared" si="107"/>
        <v>1100</v>
      </c>
      <c r="F149" s="17"/>
      <c r="G149" s="17">
        <v>550</v>
      </c>
      <c r="H149" s="17"/>
      <c r="I149" s="17">
        <v>550</v>
      </c>
      <c r="J149" s="17">
        <v>1005.60384</v>
      </c>
      <c r="K149" s="17"/>
      <c r="L149" s="17">
        <f t="shared" si="108"/>
        <v>939.78300000000002</v>
      </c>
      <c r="M149" s="17"/>
      <c r="N149" s="17">
        <v>550</v>
      </c>
      <c r="O149" s="17"/>
      <c r="P149" s="17">
        <v>389.78300000000002</v>
      </c>
      <c r="Q149" s="17">
        <f t="shared" si="109"/>
        <v>389.78300000000002</v>
      </c>
      <c r="R149" s="17"/>
      <c r="S149" s="17"/>
      <c r="T149" s="17"/>
      <c r="U149" s="17">
        <v>389.78300000000002</v>
      </c>
      <c r="V149" s="125">
        <f t="shared" si="106"/>
        <v>65.820839999999976</v>
      </c>
      <c r="W149" s="125"/>
      <c r="X149" s="125"/>
      <c r="Y149" s="125"/>
      <c r="Z149" s="125">
        <v>65.820839999999976</v>
      </c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1"/>
      <c r="AR149" s="146">
        <f t="shared" si="95"/>
        <v>65.820839999999976</v>
      </c>
      <c r="AS149" s="146">
        <f t="shared" si="96"/>
        <v>0</v>
      </c>
    </row>
    <row r="150" spans="1:45" s="22" customFormat="1" ht="66" customHeight="1" x14ac:dyDescent="0.25">
      <c r="A150" s="10">
        <v>13</v>
      </c>
      <c r="B150" s="110" t="s">
        <v>390</v>
      </c>
      <c r="C150" s="98" t="s">
        <v>391</v>
      </c>
      <c r="D150" s="113" t="s">
        <v>392</v>
      </c>
      <c r="E150" s="17">
        <f t="shared" si="107"/>
        <v>822.10521600000004</v>
      </c>
      <c r="F150" s="17"/>
      <c r="G150" s="17"/>
      <c r="H150" s="17"/>
      <c r="I150" s="17">
        <v>822.10521600000004</v>
      </c>
      <c r="J150" s="17">
        <v>820.251127</v>
      </c>
      <c r="K150" s="17"/>
      <c r="L150" s="17">
        <f t="shared" si="108"/>
        <v>740</v>
      </c>
      <c r="M150" s="17"/>
      <c r="N150" s="17"/>
      <c r="O150" s="17"/>
      <c r="P150" s="17">
        <v>740</v>
      </c>
      <c r="Q150" s="17">
        <f t="shared" si="109"/>
        <v>0</v>
      </c>
      <c r="R150" s="17"/>
      <c r="S150" s="17"/>
      <c r="T150" s="17"/>
      <c r="U150" s="17"/>
      <c r="V150" s="125">
        <f t="shared" si="106"/>
        <v>80.251126999999997</v>
      </c>
      <c r="W150" s="125"/>
      <c r="X150" s="125"/>
      <c r="Y150" s="125"/>
      <c r="Z150" s="125">
        <v>80.251126999999997</v>
      </c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1"/>
      <c r="AR150" s="146">
        <f t="shared" si="95"/>
        <v>80.251126999999997</v>
      </c>
      <c r="AS150" s="146">
        <f t="shared" si="96"/>
        <v>0</v>
      </c>
    </row>
    <row r="151" spans="1:45" s="22" customFormat="1" ht="66" customHeight="1" x14ac:dyDescent="0.25">
      <c r="A151" s="10">
        <v>14</v>
      </c>
      <c r="B151" s="112" t="s">
        <v>393</v>
      </c>
      <c r="C151" s="98" t="s">
        <v>394</v>
      </c>
      <c r="D151" s="10" t="s">
        <v>395</v>
      </c>
      <c r="E151" s="17">
        <f t="shared" si="107"/>
        <v>698.85778500000004</v>
      </c>
      <c r="F151" s="17"/>
      <c r="G151" s="17"/>
      <c r="H151" s="17"/>
      <c r="I151" s="17">
        <v>698.85778500000004</v>
      </c>
      <c r="J151" s="17">
        <v>686.76863700000001</v>
      </c>
      <c r="K151" s="17"/>
      <c r="L151" s="17">
        <f t="shared" si="108"/>
        <v>629.67100000000005</v>
      </c>
      <c r="M151" s="17"/>
      <c r="N151" s="17"/>
      <c r="O151" s="17"/>
      <c r="P151" s="17">
        <v>629.67100000000005</v>
      </c>
      <c r="Q151" s="17">
        <f t="shared" si="109"/>
        <v>0</v>
      </c>
      <c r="R151" s="17"/>
      <c r="S151" s="17"/>
      <c r="T151" s="17"/>
      <c r="U151" s="17"/>
      <c r="V151" s="125">
        <f t="shared" si="106"/>
        <v>57.097636999999963</v>
      </c>
      <c r="W151" s="125"/>
      <c r="X151" s="125"/>
      <c r="Y151" s="125"/>
      <c r="Z151" s="125">
        <v>57.097636999999963</v>
      </c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1"/>
      <c r="AR151" s="146">
        <f t="shared" si="95"/>
        <v>57.097636999999963</v>
      </c>
      <c r="AS151" s="146">
        <f t="shared" si="96"/>
        <v>0</v>
      </c>
    </row>
    <row r="152" spans="1:45" s="22" customFormat="1" ht="66" x14ac:dyDescent="0.25">
      <c r="A152" s="10">
        <v>15</v>
      </c>
      <c r="B152" s="112" t="s">
        <v>396</v>
      </c>
      <c r="C152" s="98" t="s">
        <v>397</v>
      </c>
      <c r="D152" s="10" t="s">
        <v>398</v>
      </c>
      <c r="E152" s="17">
        <f t="shared" si="107"/>
        <v>698.93035499999996</v>
      </c>
      <c r="F152" s="17"/>
      <c r="G152" s="17"/>
      <c r="H152" s="17"/>
      <c r="I152" s="17">
        <v>698.93035499999996</v>
      </c>
      <c r="J152" s="17">
        <v>698.12529099999995</v>
      </c>
      <c r="K152" s="17"/>
      <c r="L152" s="17">
        <f t="shared" si="108"/>
        <v>629.97699999999998</v>
      </c>
      <c r="M152" s="17"/>
      <c r="N152" s="17"/>
      <c r="O152" s="17"/>
      <c r="P152" s="17">
        <v>629.97699999999998</v>
      </c>
      <c r="Q152" s="17">
        <f t="shared" si="109"/>
        <v>0</v>
      </c>
      <c r="R152" s="17"/>
      <c r="S152" s="17"/>
      <c r="T152" s="17"/>
      <c r="U152" s="17"/>
      <c r="V152" s="125">
        <f t="shared" si="106"/>
        <v>68.148290999999972</v>
      </c>
      <c r="W152" s="125"/>
      <c r="X152" s="125"/>
      <c r="Y152" s="125"/>
      <c r="Z152" s="125">
        <v>68.148290999999972</v>
      </c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1"/>
      <c r="AR152" s="146">
        <f t="shared" si="95"/>
        <v>68.148290999999972</v>
      </c>
      <c r="AS152" s="146">
        <f t="shared" si="96"/>
        <v>0</v>
      </c>
    </row>
    <row r="153" spans="1:45" s="22" customFormat="1" ht="66" customHeight="1" x14ac:dyDescent="0.25">
      <c r="A153" s="10">
        <v>16</v>
      </c>
      <c r="B153" s="24" t="s">
        <v>399</v>
      </c>
      <c r="C153" s="24" t="s">
        <v>400</v>
      </c>
      <c r="D153" s="10" t="s">
        <v>401</v>
      </c>
      <c r="E153" s="17">
        <f t="shared" si="107"/>
        <v>1125</v>
      </c>
      <c r="F153" s="17">
        <v>900</v>
      </c>
      <c r="G153" s="17"/>
      <c r="H153" s="17">
        <v>113</v>
      </c>
      <c r="I153" s="17">
        <v>112</v>
      </c>
      <c r="J153" s="17">
        <v>1078.2</v>
      </c>
      <c r="K153" s="17"/>
      <c r="L153" s="17">
        <f t="shared" si="108"/>
        <v>975.56</v>
      </c>
      <c r="M153" s="17">
        <v>862.56</v>
      </c>
      <c r="N153" s="17"/>
      <c r="O153" s="17">
        <v>113</v>
      </c>
      <c r="P153" s="17"/>
      <c r="Q153" s="17">
        <f t="shared" si="109"/>
        <v>975.56</v>
      </c>
      <c r="R153" s="17">
        <v>862.56</v>
      </c>
      <c r="S153" s="17"/>
      <c r="T153" s="17">
        <v>113</v>
      </c>
      <c r="U153" s="17"/>
      <c r="V153" s="125">
        <f t="shared" si="106"/>
        <v>102.6400000000001</v>
      </c>
      <c r="W153" s="125"/>
      <c r="X153" s="125"/>
      <c r="Y153" s="125"/>
      <c r="Z153" s="125">
        <v>102.6400000000001</v>
      </c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2"/>
      <c r="AR153" s="146">
        <f t="shared" si="95"/>
        <v>102.6400000000001</v>
      </c>
      <c r="AS153" s="146">
        <f t="shared" si="96"/>
        <v>0</v>
      </c>
    </row>
  </sheetData>
  <mergeCells count="41">
    <mergeCell ref="AF4:AP4"/>
    <mergeCell ref="AF5:AF7"/>
    <mergeCell ref="AG5:AK5"/>
    <mergeCell ref="AL5:AP5"/>
    <mergeCell ref="AG6:AG7"/>
    <mergeCell ref="AH6:AK6"/>
    <mergeCell ref="AL6:AL7"/>
    <mergeCell ref="AM6:AP6"/>
    <mergeCell ref="L4:U4"/>
    <mergeCell ref="L5:P5"/>
    <mergeCell ref="Q5:U5"/>
    <mergeCell ref="L6:L7"/>
    <mergeCell ref="M6:P6"/>
    <mergeCell ref="AA6:AA7"/>
    <mergeCell ref="Q6:Q7"/>
    <mergeCell ref="R6:U6"/>
    <mergeCell ref="V6:V7"/>
    <mergeCell ref="V5:Z5"/>
    <mergeCell ref="AQ132:AQ134"/>
    <mergeCell ref="AQ138:AQ153"/>
    <mergeCell ref="AQ74:AQ97"/>
    <mergeCell ref="AQ99:AQ122"/>
    <mergeCell ref="AQ25:AQ45"/>
    <mergeCell ref="AQ47:AQ59"/>
    <mergeCell ref="AQ61:AQ67"/>
    <mergeCell ref="A2:AQ2"/>
    <mergeCell ref="A1:AQ1"/>
    <mergeCell ref="V3:AQ3"/>
    <mergeCell ref="A4:A7"/>
    <mergeCell ref="B4:B7"/>
    <mergeCell ref="C4:I5"/>
    <mergeCell ref="J4:K6"/>
    <mergeCell ref="AQ4:AQ7"/>
    <mergeCell ref="W6:Z6"/>
    <mergeCell ref="AB6:AE6"/>
    <mergeCell ref="C6:C7"/>
    <mergeCell ref="D6:D7"/>
    <mergeCell ref="E6:E7"/>
    <mergeCell ref="F6:I6"/>
    <mergeCell ref="V4:AE4"/>
    <mergeCell ref="AA5:AE5"/>
  </mergeCells>
  <phoneticPr fontId="34" type="noConversion"/>
  <printOptions horizontalCentered="1"/>
  <pageMargins left="0.19685039370078741" right="0.19685039370078741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Vietnam State Audit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KTNN</dc:creator>
  <cp:lastModifiedBy>Windows 10</cp:lastModifiedBy>
  <cp:lastPrinted>2025-04-14T08:24:47Z</cp:lastPrinted>
  <dcterms:created xsi:type="dcterms:W3CDTF">2024-09-17T08:48:34Z</dcterms:created>
  <dcterms:modified xsi:type="dcterms:W3CDTF">2025-04-15T03:47:38Z</dcterms:modified>
</cp:coreProperties>
</file>