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E:\DIA E - SANG\NAM 2024\HO TRO XI MANG 2024\11-2024- PHE DUYET DIEU CHINH DANH MUC HTXM NAM 2024\"/>
    </mc:Choice>
  </mc:AlternateContent>
  <xr:revisionPtr revIDLastSave="0" documentId="13_ncr:1_{79F2F31C-2034-40CD-BBD2-D988B079E51E}" xr6:coauthVersionLast="47" xr6:coauthVersionMax="47" xr10:uidLastSave="{00000000-0000-0000-0000-000000000000}"/>
  <bookViews>
    <workbookView xWindow="-120" yWindow="-120" windowWidth="29040" windowHeight="15840" tabRatio="876" firstSheet="259" activeTab="259" xr2:uid="{00000000-000D-0000-FFFF-FFFF00000000}"/>
  </bookViews>
  <sheets>
    <sheet name="foxz_16" sheetId="65" state="veryHidden" r:id="rId1"/>
    <sheet name="foxz_17" sheetId="66" state="veryHidden" r:id="rId2"/>
    <sheet name="foxz_18" sheetId="67" state="veryHidden" r:id="rId3"/>
    <sheet name="foxz_19" sheetId="68" state="veryHidden" r:id="rId4"/>
    <sheet name="foxz_20" sheetId="69" state="veryHidden" r:id="rId5"/>
    <sheet name="foxz_21" sheetId="70" state="veryHidden" r:id="rId6"/>
    <sheet name="foxz_22" sheetId="71" state="veryHidden" r:id="rId7"/>
    <sheet name="foxz_23" sheetId="72" state="veryHidden" r:id="rId8"/>
    <sheet name="foxz_24" sheetId="73" state="veryHidden" r:id="rId9"/>
    <sheet name="foxz_25" sheetId="74" state="veryHidden" r:id="rId10"/>
    <sheet name="foxz_26" sheetId="75" state="veryHidden" r:id="rId11"/>
    <sheet name="foxz_27" sheetId="76" state="veryHidden" r:id="rId12"/>
    <sheet name="foxz_37" sheetId="86" state="veryHidden" r:id="rId13"/>
    <sheet name="foxz_38" sheetId="87" state="veryHidden" r:id="rId14"/>
    <sheet name="foxz_39" sheetId="88" state="veryHidden" r:id="rId15"/>
    <sheet name="foxz_40" sheetId="89" state="veryHidden" r:id="rId16"/>
    <sheet name="foxz_41" sheetId="90" state="veryHidden" r:id="rId17"/>
    <sheet name="foxz_42" sheetId="91" state="veryHidden" r:id="rId18"/>
    <sheet name="foxz_43" sheetId="92" state="veryHidden" r:id="rId19"/>
    <sheet name="foxz_44" sheetId="93" state="veryHidden" r:id="rId20"/>
    <sheet name="foxz_45" sheetId="94" state="veryHidden" r:id="rId21"/>
    <sheet name="foxz_46" sheetId="95" state="veryHidden" r:id="rId22"/>
    <sheet name="foxz_47" sheetId="96" state="veryHidden" r:id="rId23"/>
    <sheet name="foxz_185" sheetId="242" state="veryHidden" r:id="rId24"/>
    <sheet name="foxz_186" sheetId="243" state="veryHidden" r:id="rId25"/>
    <sheet name="foxz" sheetId="43" state="hidden" r:id="rId26"/>
    <sheet name="foxz_2" sheetId="50" state="veryHidden" r:id="rId27"/>
    <sheet name="foxz_3" sheetId="51" state="veryHidden" r:id="rId28"/>
    <sheet name="foxz_4" sheetId="52" state="veryHidden" r:id="rId29"/>
    <sheet name="foxz_5" sheetId="53" state="veryHidden" r:id="rId30"/>
    <sheet name="foxz_6" sheetId="54" state="veryHidden" r:id="rId31"/>
    <sheet name="foxz_7" sheetId="55" state="veryHidden" r:id="rId32"/>
    <sheet name="foxz_8" sheetId="56" state="veryHidden" r:id="rId33"/>
    <sheet name="foxz_9" sheetId="57" state="veryHidden" r:id="rId34"/>
    <sheet name="foxz_10" sheetId="58" state="veryHidden" r:id="rId35"/>
    <sheet name="foxz_11" sheetId="59" state="veryHidden" r:id="rId36"/>
    <sheet name="foxz_12" sheetId="60" state="veryHidden" r:id="rId37"/>
    <sheet name="foxz_13" sheetId="61" state="veryHidden" r:id="rId38"/>
    <sheet name="foxz_76" sheetId="127" state="veryHidden" r:id="rId39"/>
    <sheet name="foxz_77" sheetId="128" state="veryHidden" r:id="rId40"/>
    <sheet name="foxz_78" sheetId="129" state="veryHidden" r:id="rId41"/>
    <sheet name="foxz_79" sheetId="130" state="veryHidden" r:id="rId42"/>
    <sheet name="foxz_80" sheetId="131" state="veryHidden" r:id="rId43"/>
    <sheet name="foxz_81" sheetId="132" state="veryHidden" r:id="rId44"/>
    <sheet name="foxz_120" sheetId="176" state="veryHidden" r:id="rId45"/>
    <sheet name="foxz_121" sheetId="177" state="veryHidden" r:id="rId46"/>
    <sheet name="Docso" sheetId="62" state="hidden" r:id="rId47"/>
    <sheet name="foxz_32" sheetId="81" state="veryHidden" r:id="rId48"/>
    <sheet name="foxz_33" sheetId="82" state="veryHidden" r:id="rId49"/>
    <sheet name="foxz_34" sheetId="83" state="veryHidden" r:id="rId50"/>
    <sheet name="foxz_35" sheetId="84" state="veryHidden" r:id="rId51"/>
    <sheet name="foxz_36" sheetId="85" state="veryHidden" r:id="rId52"/>
    <sheet name="foxz_62" sheetId="113" state="veryHidden" r:id="rId53"/>
    <sheet name="foxz_63" sheetId="114" state="veryHidden" r:id="rId54"/>
    <sheet name="foxz_64" sheetId="115" state="veryHidden" r:id="rId55"/>
    <sheet name="foxz_65" sheetId="116" state="veryHidden" r:id="rId56"/>
    <sheet name="foxz_66" sheetId="117" state="veryHidden" r:id="rId57"/>
    <sheet name="foxz_67" sheetId="118" state="veryHidden" r:id="rId58"/>
    <sheet name="foxz_68" sheetId="119" state="veryHidden" r:id="rId59"/>
    <sheet name="foxz_69" sheetId="120" state="veryHidden" r:id="rId60"/>
    <sheet name="foxz_70" sheetId="121" state="veryHidden" r:id="rId61"/>
    <sheet name="foxz_71" sheetId="122" state="veryHidden" r:id="rId62"/>
    <sheet name="foxz_72" sheetId="123" state="veryHidden" r:id="rId63"/>
    <sheet name="foxz_73" sheetId="124" state="veryHidden" r:id="rId64"/>
    <sheet name="foxz_74" sheetId="125" state="veryHidden" r:id="rId65"/>
    <sheet name="foxz_75" sheetId="126" state="veryHidden" r:id="rId66"/>
    <sheet name="foxz_82" sheetId="133" state="veryHidden" r:id="rId67"/>
    <sheet name="foxz_83" sheetId="134" state="veryHidden" r:id="rId68"/>
    <sheet name="foxz_84" sheetId="135" state="veryHidden" r:id="rId69"/>
    <sheet name="foxz_85" sheetId="136" state="veryHidden" r:id="rId70"/>
    <sheet name="foxz_86" sheetId="137" state="veryHidden" r:id="rId71"/>
    <sheet name="foxz_99" sheetId="155" state="veryHidden" r:id="rId72"/>
    <sheet name="foxz_100" sheetId="156" state="veryHidden" r:id="rId73"/>
    <sheet name="foxz_101" sheetId="157" state="veryHidden" r:id="rId74"/>
    <sheet name="foxz_102" sheetId="158" state="veryHidden" r:id="rId75"/>
    <sheet name="foxz_103" sheetId="159" state="veryHidden" r:id="rId76"/>
    <sheet name="foxz_104" sheetId="160" state="veryHidden" r:id="rId77"/>
    <sheet name="foxz_105" sheetId="161" state="veryHidden" r:id="rId78"/>
    <sheet name="foxz_106" sheetId="162" state="veryHidden" r:id="rId79"/>
    <sheet name="foxz_118" sheetId="174" state="veryHidden" r:id="rId80"/>
    <sheet name="foxz_119" sheetId="175" state="veryHidden" r:id="rId81"/>
    <sheet name="foxz_129" sheetId="185" state="veryHidden" r:id="rId82"/>
    <sheet name="foxz_130" sheetId="186" state="veryHidden" r:id="rId83"/>
    <sheet name="foxz_138" sheetId="194" state="veryHidden" r:id="rId84"/>
    <sheet name="foxz_142" sheetId="198" state="veryHidden" r:id="rId85"/>
    <sheet name="foxz_143" sheetId="199" state="veryHidden" r:id="rId86"/>
    <sheet name="foxz_151" sheetId="207" state="veryHidden" r:id="rId87"/>
    <sheet name="foxz_152" sheetId="208" state="veryHidden" r:id="rId88"/>
    <sheet name="foxz_157" sheetId="213" state="veryHidden" r:id="rId89"/>
    <sheet name="foxz_167" sheetId="223" state="veryHidden" r:id="rId90"/>
    <sheet name="foxz_172" sheetId="229" state="veryHidden" r:id="rId91"/>
    <sheet name="foxz_180" sheetId="237" state="veryHidden" r:id="rId92"/>
    <sheet name="foxz_181" sheetId="238" state="veryHidden" r:id="rId93"/>
    <sheet name="foxz_182" sheetId="239" state="veryHidden" r:id="rId94"/>
    <sheet name="foxz_183" sheetId="240" state="veryHidden" r:id="rId95"/>
    <sheet name="foxz_184" sheetId="241" state="veryHidden" r:id="rId96"/>
    <sheet name="foxz_199" sheetId="256" state="veryHidden" r:id="rId97"/>
    <sheet name="foxz_200" sheetId="257" state="veryHidden" r:id="rId98"/>
    <sheet name="foxz_201" sheetId="258" state="veryHidden" r:id="rId99"/>
    <sheet name="foxz_202" sheetId="259" state="veryHidden" r:id="rId100"/>
    <sheet name="foxz_203" sheetId="260" state="veryHidden" r:id="rId101"/>
    <sheet name="foxz_204" sheetId="261" state="veryHidden" r:id="rId102"/>
    <sheet name="foxz_205" sheetId="262" state="veryHidden" r:id="rId103"/>
    <sheet name="foxz_206" sheetId="263" state="veryHidden" r:id="rId104"/>
    <sheet name="foxz_207" sheetId="264" state="veryHidden" r:id="rId105"/>
    <sheet name="foxz_208" sheetId="265" state="veryHidden" r:id="rId106"/>
    <sheet name="foxz_209" sheetId="266" state="veryHidden" r:id="rId107"/>
    <sheet name="foxz_210" sheetId="267" state="veryHidden" r:id="rId108"/>
    <sheet name="foxz_211" sheetId="268" state="veryHidden" r:id="rId109"/>
    <sheet name="foxz_212" sheetId="269" state="veryHidden" r:id="rId110"/>
    <sheet name="foxz_213" sheetId="270" state="veryHidden" r:id="rId111"/>
    <sheet name="foxz_238" sheetId="295" state="veryHidden" r:id="rId112"/>
    <sheet name="foxz_239" sheetId="296" state="veryHidden" r:id="rId113"/>
    <sheet name="foxz_241" sheetId="298" state="veryHidden" r:id="rId114"/>
    <sheet name="HS" sheetId="111" state="hidden" r:id="rId115"/>
    <sheet name="foxz_14" sheetId="63" state="veryHidden" r:id="rId116"/>
    <sheet name="foxz_15" sheetId="64" state="veryHidden" r:id="rId117"/>
    <sheet name="foxz_28" sheetId="77" state="veryHidden" r:id="rId118"/>
    <sheet name="foxz_29" sheetId="78" state="veryHidden" r:id="rId119"/>
    <sheet name="foxz_30" sheetId="79" state="veryHidden" r:id="rId120"/>
    <sheet name="foxz_31" sheetId="80" state="veryHidden" r:id="rId121"/>
    <sheet name="foxz_48" sheetId="97" state="veryHidden" r:id="rId122"/>
    <sheet name="foxz_49" sheetId="98" state="veryHidden" r:id="rId123"/>
    <sheet name="foxz_50" sheetId="99" state="veryHidden" r:id="rId124"/>
    <sheet name="foxz_51" sheetId="100" state="veryHidden" r:id="rId125"/>
    <sheet name="foxz_52" sheetId="101" state="veryHidden" r:id="rId126"/>
    <sheet name="foxz_53" sheetId="102" state="veryHidden" r:id="rId127"/>
    <sheet name="foxz_54" sheetId="103" state="veryHidden" r:id="rId128"/>
    <sheet name="foxz_55" sheetId="104" state="veryHidden" r:id="rId129"/>
    <sheet name="foxz_56" sheetId="105" state="veryHidden" r:id="rId130"/>
    <sheet name="foxz_57" sheetId="106" state="veryHidden" r:id="rId131"/>
    <sheet name="foxz_58" sheetId="107" state="veryHidden" r:id="rId132"/>
    <sheet name="foxz_59" sheetId="108" state="veryHidden" r:id="rId133"/>
    <sheet name="foxz_60" sheetId="109" state="veryHidden" r:id="rId134"/>
    <sheet name="foxz_61" sheetId="110" state="veryHidden" r:id="rId135"/>
    <sheet name="foxz_87" sheetId="138" state="veryHidden" r:id="rId136"/>
    <sheet name="foxz_88" sheetId="139" state="veryHidden" r:id="rId137"/>
    <sheet name="foxz_89" sheetId="140" state="veryHidden" r:id="rId138"/>
    <sheet name="foxz_90" sheetId="141" state="veryHidden" r:id="rId139"/>
    <sheet name="foxz_91" sheetId="142" state="veryHidden" r:id="rId140"/>
    <sheet name="foxz_92" sheetId="143" state="veryHidden" r:id="rId141"/>
    <sheet name="foxz_93" sheetId="144" state="veryHidden" r:id="rId142"/>
    <sheet name="foxz_94" sheetId="145" state="veryHidden" r:id="rId143"/>
    <sheet name="foxz_95" sheetId="146" state="veryHidden" r:id="rId144"/>
    <sheet name="foxz_96" sheetId="147" state="veryHidden" r:id="rId145"/>
    <sheet name="foxz_97" sheetId="153" state="veryHidden" r:id="rId146"/>
    <sheet name="foxz_98" sheetId="154" state="veryHidden" r:id="rId147"/>
    <sheet name="foxz_107" sheetId="163" state="veryHidden" r:id="rId148"/>
    <sheet name="foxz_108" sheetId="164" state="veryHidden" r:id="rId149"/>
    <sheet name="foxz_109" sheetId="165" state="veryHidden" r:id="rId150"/>
    <sheet name="foxz_110" sheetId="166" state="veryHidden" r:id="rId151"/>
    <sheet name="foxz_111" sheetId="167" state="veryHidden" r:id="rId152"/>
    <sheet name="foxz_112" sheetId="168" state="veryHidden" r:id="rId153"/>
    <sheet name="foxz_113" sheetId="169" state="veryHidden" r:id="rId154"/>
    <sheet name="foxz_114" sheetId="170" state="veryHidden" r:id="rId155"/>
    <sheet name="foxz_115" sheetId="171" state="veryHidden" r:id="rId156"/>
    <sheet name="foxz_116" sheetId="172" state="veryHidden" r:id="rId157"/>
    <sheet name="foxz_117" sheetId="173" state="veryHidden" r:id="rId158"/>
    <sheet name="foxz_122" sheetId="178" state="veryHidden" r:id="rId159"/>
    <sheet name="foxz_123" sheetId="179" state="veryHidden" r:id="rId160"/>
    <sheet name="foxz_124" sheetId="180" state="veryHidden" r:id="rId161"/>
    <sheet name="foxz_125" sheetId="181" state="veryHidden" r:id="rId162"/>
    <sheet name="foxz_126" sheetId="182" state="veryHidden" r:id="rId163"/>
    <sheet name="foxz_127" sheetId="183" state="veryHidden" r:id="rId164"/>
    <sheet name="foxz_128" sheetId="184" state="veryHidden" r:id="rId165"/>
    <sheet name="foxz_131" sheetId="187" state="veryHidden" r:id="rId166"/>
    <sheet name="foxz_132" sheetId="188" state="veryHidden" r:id="rId167"/>
    <sheet name="foxz_133" sheetId="189" state="veryHidden" r:id="rId168"/>
    <sheet name="foxz_134" sheetId="190" state="veryHidden" r:id="rId169"/>
    <sheet name="foxz_135" sheetId="191" state="veryHidden" r:id="rId170"/>
    <sheet name="foxz_136" sheetId="192" state="veryHidden" r:id="rId171"/>
    <sheet name="foxz_137" sheetId="193" state="veryHidden" r:id="rId172"/>
    <sheet name="foxz_139" sheetId="195" state="veryHidden" r:id="rId173"/>
    <sheet name="foxz_140" sheetId="196" state="veryHidden" r:id="rId174"/>
    <sheet name="foxz_141" sheetId="197" state="veryHidden" r:id="rId175"/>
    <sheet name="foxz_144" sheetId="200" state="veryHidden" r:id="rId176"/>
    <sheet name="foxz_145" sheetId="201" state="veryHidden" r:id="rId177"/>
    <sheet name="foxz_146" sheetId="202" state="veryHidden" r:id="rId178"/>
    <sheet name="foxz_147" sheetId="203" state="veryHidden" r:id="rId179"/>
    <sheet name="foxz_148" sheetId="204" state="veryHidden" r:id="rId180"/>
    <sheet name="foxz_149" sheetId="205" state="veryHidden" r:id="rId181"/>
    <sheet name="foxz_150" sheetId="206" state="veryHidden" r:id="rId182"/>
    <sheet name="foxz_153" sheetId="209" state="veryHidden" r:id="rId183"/>
    <sheet name="foxz_154" sheetId="210" state="veryHidden" r:id="rId184"/>
    <sheet name="foxz_155" sheetId="211" state="veryHidden" r:id="rId185"/>
    <sheet name="foxz_156" sheetId="212" state="veryHidden" r:id="rId186"/>
    <sheet name="foxz_158" sheetId="214" state="veryHidden" r:id="rId187"/>
    <sheet name="foxz_159" sheetId="215" state="veryHidden" r:id="rId188"/>
    <sheet name="foxz_160" sheetId="216" state="veryHidden" r:id="rId189"/>
    <sheet name="foxz_161" sheetId="217" state="veryHidden" r:id="rId190"/>
    <sheet name="foxz_162" sheetId="218" state="veryHidden" r:id="rId191"/>
    <sheet name="foxz_163" sheetId="219" state="veryHidden" r:id="rId192"/>
    <sheet name="foxz_164" sheetId="220" state="veryHidden" r:id="rId193"/>
    <sheet name="foxz_165" sheetId="221" state="veryHidden" r:id="rId194"/>
    <sheet name="foxz_166" sheetId="222" state="veryHidden" r:id="rId195"/>
    <sheet name="foxz_168" sheetId="224" state="veryHidden" r:id="rId196"/>
    <sheet name="foxz_169" sheetId="225" state="veryHidden" r:id="rId197"/>
    <sheet name="foxz_170" sheetId="226" state="veryHidden" r:id="rId198"/>
    <sheet name="foxz_171" sheetId="228" state="veryHidden" r:id="rId199"/>
    <sheet name="foxz_173" sheetId="230" state="veryHidden" r:id="rId200"/>
    <sheet name="foxz_174" sheetId="231" state="veryHidden" r:id="rId201"/>
    <sheet name="foxz_175" sheetId="232" state="veryHidden" r:id="rId202"/>
    <sheet name="foxz_176" sheetId="233" state="veryHidden" r:id="rId203"/>
    <sheet name="foxz_177" sheetId="234" state="veryHidden" r:id="rId204"/>
    <sheet name="foxz_178" sheetId="235" state="veryHidden" r:id="rId205"/>
    <sheet name="foxz_179" sheetId="236" state="veryHidden" r:id="rId206"/>
    <sheet name="foxz_187" sheetId="244" state="veryHidden" r:id="rId207"/>
    <sheet name="foxz_188" sheetId="245" state="veryHidden" r:id="rId208"/>
    <sheet name="foxz_189" sheetId="246" state="veryHidden" r:id="rId209"/>
    <sheet name="foxz_190" sheetId="247" state="veryHidden" r:id="rId210"/>
    <sheet name="foxz_191" sheetId="248" state="veryHidden" r:id="rId211"/>
    <sheet name="foxz_192" sheetId="249" state="veryHidden" r:id="rId212"/>
    <sheet name="foxz_193" sheetId="250" state="veryHidden" r:id="rId213"/>
    <sheet name="foxz_194" sheetId="251" state="veryHidden" r:id="rId214"/>
    <sheet name="foxz_195" sheetId="252" state="veryHidden" r:id="rId215"/>
    <sheet name="foxz_196" sheetId="253" state="veryHidden" r:id="rId216"/>
    <sheet name="foxz_197" sheetId="254" state="veryHidden" r:id="rId217"/>
    <sheet name="foxz_198" sheetId="255" state="veryHidden" r:id="rId218"/>
    <sheet name="foxz_214" sheetId="271" state="veryHidden" r:id="rId219"/>
    <sheet name="foxz_215" sheetId="272" state="veryHidden" r:id="rId220"/>
    <sheet name="foxz_216" sheetId="273" state="veryHidden" r:id="rId221"/>
    <sheet name="foxz_217" sheetId="274" state="veryHidden" r:id="rId222"/>
    <sheet name="foxz_218" sheetId="275" state="veryHidden" r:id="rId223"/>
    <sheet name="foxz_219" sheetId="276" state="veryHidden" r:id="rId224"/>
    <sheet name="foxz_220" sheetId="277" state="veryHidden" r:id="rId225"/>
    <sheet name="foxz_221" sheetId="278" state="veryHidden" r:id="rId226"/>
    <sheet name="foxz_222" sheetId="279" state="veryHidden" r:id="rId227"/>
    <sheet name="foxz_223" sheetId="280" state="veryHidden" r:id="rId228"/>
    <sheet name="foxz_224" sheetId="281" state="veryHidden" r:id="rId229"/>
    <sheet name="foxz_225" sheetId="282" state="veryHidden" r:id="rId230"/>
    <sheet name="foxz_226" sheetId="283" state="veryHidden" r:id="rId231"/>
    <sheet name="foxz_227" sheetId="284" state="veryHidden" r:id="rId232"/>
    <sheet name="foxz_228" sheetId="285" state="veryHidden" r:id="rId233"/>
    <sheet name="foxz_229" sheetId="286" state="veryHidden" r:id="rId234"/>
    <sheet name="foxz_230" sheetId="287" state="veryHidden" r:id="rId235"/>
    <sheet name="foxz_231" sheetId="288" state="veryHidden" r:id="rId236"/>
    <sheet name="foxz_232" sheetId="289" state="veryHidden" r:id="rId237"/>
    <sheet name="foxz_233" sheetId="290" state="veryHidden" r:id="rId238"/>
    <sheet name="foxz_234" sheetId="291" state="veryHidden" r:id="rId239"/>
    <sheet name="foxz_235" sheetId="292" state="veryHidden" r:id="rId240"/>
    <sheet name="foxz_236" sheetId="293" state="veryHidden" r:id="rId241"/>
    <sheet name="foxz_237" sheetId="294" state="veryHidden" r:id="rId242"/>
    <sheet name="foxz_240" sheetId="297" state="veryHidden" r:id="rId243"/>
    <sheet name="foxz_242" sheetId="299" state="veryHidden" r:id="rId244"/>
    <sheet name="foxz_243" sheetId="300" state="veryHidden" r:id="rId245"/>
    <sheet name="foxz_244" sheetId="301" state="veryHidden" r:id="rId246"/>
    <sheet name="TongDT" sheetId="112" state="hidden" r:id="rId247"/>
    <sheet name="Khaosat" sheetId="13" state="hidden" r:id="rId248"/>
    <sheet name="PT giaKS" sheetId="14" state="hidden" r:id="rId249"/>
    <sheet name="VLKS" sheetId="16" state="hidden" r:id="rId250"/>
    <sheet name="NC,M KS" sheetId="15" state="hidden" r:id="rId251"/>
    <sheet name="XLGT" sheetId="26" state="hidden" r:id="rId252"/>
    <sheet name="BDGT" sheetId="227" state="hidden" r:id="rId253"/>
    <sheet name="Du toan chi tiet" sheetId="148" state="hidden" r:id="rId254"/>
    <sheet name="foxz_245" sheetId="303" state="veryHidden" r:id="rId255"/>
    <sheet name="foxz_246" sheetId="304" state="veryHidden" r:id="rId256"/>
    <sheet name="foxz_247" sheetId="311" state="veryHidden" r:id="rId257"/>
    <sheet name="foxz_248" sheetId="312" state="veryHidden" r:id="rId258"/>
    <sheet name="foxz_249" sheetId="314" state="veryHidden" r:id=""/>
    <sheet name="duc pho" sheetId="313" r:id="rId259"/>
    <sheet name="KL cac huyen" sheetId="310" state="hidden" r:id="rId260"/>
    <sheet name="Gia VL" sheetId="151" state="hidden" r:id="rId261"/>
    <sheet name="SSVL" sheetId="49" state="hidden" r:id="rId262"/>
  </sheets>
  <externalReferences>
    <externalReference r:id="rId263"/>
    <externalReference r:id="rId264"/>
    <externalReference r:id="rId265"/>
  </externalReferences>
  <definedNames>
    <definedName name="___a129"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atn1" localSheetId="252">#REF!</definedName>
    <definedName name="___atn1">#REF!</definedName>
    <definedName name="___atn10" localSheetId="252">#REF!</definedName>
    <definedName name="___atn10">#REF!</definedName>
    <definedName name="___atn2" localSheetId="252">#REF!</definedName>
    <definedName name="___atn2">#REF!</definedName>
    <definedName name="___atn3" localSheetId="252">#REF!</definedName>
    <definedName name="___atn3">#REF!</definedName>
    <definedName name="___atn4" localSheetId="252">#REF!</definedName>
    <definedName name="___atn4">#REF!</definedName>
    <definedName name="___atn5" localSheetId="252">#REF!</definedName>
    <definedName name="___atn5">#REF!</definedName>
    <definedName name="___atn6" localSheetId="252">#REF!</definedName>
    <definedName name="___atn6">#REF!</definedName>
    <definedName name="___atn7" localSheetId="252">#REF!</definedName>
    <definedName name="___atn7">#REF!</definedName>
    <definedName name="___atn8" localSheetId="252">#REF!</definedName>
    <definedName name="___atn8">#REF!</definedName>
    <definedName name="___atn9" localSheetId="252">#REF!</definedName>
    <definedName name="___atn9">#REF!</definedName>
    <definedName name="___CON1" localSheetId="252">#REF!</definedName>
    <definedName name="___CON1">#REF!</definedName>
    <definedName name="___CON2" localSheetId="252">#REF!</definedName>
    <definedName name="___CON2">#REF!</definedName>
    <definedName name="___deo1" localSheetId="252">#REF!</definedName>
    <definedName name="___deo1">#REF!</definedName>
    <definedName name="___deo10" localSheetId="252">#REF!</definedName>
    <definedName name="___deo10">#REF!</definedName>
    <definedName name="___deo2" localSheetId="252">#REF!</definedName>
    <definedName name="___deo2">#REF!</definedName>
    <definedName name="___deo3" localSheetId="252">#REF!</definedName>
    <definedName name="___deo3">#REF!</definedName>
    <definedName name="___deo4" localSheetId="252">#REF!</definedName>
    <definedName name="___deo4">#REF!</definedName>
    <definedName name="___deo5" localSheetId="252">#REF!</definedName>
    <definedName name="___deo5">#REF!</definedName>
    <definedName name="___deo6" localSheetId="252">#REF!</definedName>
    <definedName name="___deo6">#REF!</definedName>
    <definedName name="___deo7" localSheetId="252">#REF!</definedName>
    <definedName name="___deo7">#REF!</definedName>
    <definedName name="___deo8" localSheetId="252">#REF!</definedName>
    <definedName name="___deo8">#REF!</definedName>
    <definedName name="___deo9" localSheetId="252">#REF!</definedName>
    <definedName name="___deo9">#REF!</definedName>
    <definedName name="___lap1" localSheetId="252">#REF!</definedName>
    <definedName name="___lap1">#REF!</definedName>
    <definedName name="___lap2" localSheetId="252">#REF!</definedName>
    <definedName name="___lap2">#REF!</definedName>
    <definedName name="___MUI1" localSheetId="252">#REF!</definedName>
    <definedName name="___MUI1">#REF!</definedName>
    <definedName name="___MUI101" localSheetId="252">#REF!</definedName>
    <definedName name="___MUI101">#REF!</definedName>
    <definedName name="___MUI11" localSheetId="252">#REF!</definedName>
    <definedName name="___MUI11">#REF!</definedName>
    <definedName name="__chk1" localSheetId="252">#REF!</definedName>
    <definedName name="__chk1">#REF!</definedName>
    <definedName name="__JK4" localSheetId="252">#REF!</definedName>
    <definedName name="__JK4">#REF!</definedName>
    <definedName name="__nd1" localSheetId="252">#REF!</definedName>
    <definedName name="__nd1">#REF!</definedName>
    <definedName name="__NET2" localSheetId="252">#REF!</definedName>
    <definedName name="__NET2">#REF!</definedName>
    <definedName name="__nh1" localSheetId="252">#REF!</definedName>
    <definedName name="__nh1">#REF!</definedName>
    <definedName name="__qa7" localSheetId="252">#REF!</definedName>
    <definedName name="__qa7">#REF!</definedName>
    <definedName name="_1" localSheetId="252">#REF!</definedName>
    <definedName name="_1" localSheetId="46">#REF!</definedName>
    <definedName name="_1">#REF!</definedName>
    <definedName name="_1000A01">#N/A</definedName>
    <definedName name="_2" localSheetId="252">#REF!</definedName>
    <definedName name="_2" localSheetId="46">#REF!</definedName>
    <definedName name="_2">#REF!</definedName>
    <definedName name="_a129" localSheetId="252" hidden="1">{"Offgrid",#N/A,FALSE,"OFFGRID";"Region",#N/A,FALSE,"REGION";"Offgrid -2",#N/A,FALSE,"OFFGRID";"WTP",#N/A,FALSE,"WTP";"WTP -2",#N/A,FALSE,"WTP";"Project",#N/A,FALSE,"PROJECT";"Summary -2",#N/A,FALSE,"SUMMARY"}</definedName>
    <definedName name="_a129" localSheetId="46" hidden="1">{"Offgrid",#N/A,FALSE,"OFFGRID";"Region",#N/A,FALSE,"REGION";"Offgrid -2",#N/A,FALSE,"OFFGRID";"WTP",#N/A,FALSE,"WTP";"WTP -2",#N/A,FALSE,"WTP";"Project",#N/A,FALSE,"PROJECT";"Summary -2",#N/A,FALSE,"SUMMARY"}</definedName>
    <definedName name="_a129" localSheetId="251"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252" hidden="1">{"Offgrid",#N/A,FALSE,"OFFGRID";"Region",#N/A,FALSE,"REGION";"Offgrid -2",#N/A,FALSE,"OFFGRID";"WTP",#N/A,FALSE,"WTP";"WTP -2",#N/A,FALSE,"WTP";"Project",#N/A,FALSE,"PROJECT";"Summary -2",#N/A,FALSE,"SUMMARY"}</definedName>
    <definedName name="_a130" localSheetId="46" hidden="1">{"Offgrid",#N/A,FALSE,"OFFGRID";"Region",#N/A,FALSE,"REGION";"Offgrid -2",#N/A,FALSE,"OFFGRID";"WTP",#N/A,FALSE,"WTP";"WTP -2",#N/A,FALSE,"WTP";"Project",#N/A,FALSE,"PROJECT";"Summary -2",#N/A,FALSE,"SUMMARY"}</definedName>
    <definedName name="_a130" localSheetId="251"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tn1" localSheetId="252">#REF!</definedName>
    <definedName name="_atn1">#REF!</definedName>
    <definedName name="_atn10" localSheetId="252">#REF!</definedName>
    <definedName name="_atn10">#REF!</definedName>
    <definedName name="_atn2" localSheetId="252">#REF!</definedName>
    <definedName name="_atn2">#REF!</definedName>
    <definedName name="_atn3" localSheetId="252">#REF!</definedName>
    <definedName name="_atn3">#REF!</definedName>
    <definedName name="_atn4" localSheetId="252">#REF!</definedName>
    <definedName name="_atn4">#REF!</definedName>
    <definedName name="_atn5" localSheetId="252">#REF!</definedName>
    <definedName name="_atn5">#REF!</definedName>
    <definedName name="_atn6" localSheetId="252">#REF!</definedName>
    <definedName name="_atn6">#REF!</definedName>
    <definedName name="_atn7" localSheetId="252">#REF!</definedName>
    <definedName name="_atn7">#REF!</definedName>
    <definedName name="_atn8" localSheetId="252">#REF!</definedName>
    <definedName name="_atn8">#REF!</definedName>
    <definedName name="_atn9" localSheetId="252">#REF!</definedName>
    <definedName name="_atn9">#REF!</definedName>
    <definedName name="_CON1" localSheetId="252">#REF!</definedName>
    <definedName name="_CON1">#REF!</definedName>
    <definedName name="_CON2" localSheetId="252">#REF!</definedName>
    <definedName name="_CON2">#REF!</definedName>
    <definedName name="_chk1" localSheetId="252">#REF!</definedName>
    <definedName name="_chk1">#REF!</definedName>
    <definedName name="_deo1" localSheetId="252">#REF!</definedName>
    <definedName name="_deo1">#REF!</definedName>
    <definedName name="_deo10" localSheetId="252">#REF!</definedName>
    <definedName name="_deo10">#REF!</definedName>
    <definedName name="_deo2" localSheetId="252">#REF!</definedName>
    <definedName name="_deo2">#REF!</definedName>
    <definedName name="_deo3" localSheetId="252">#REF!</definedName>
    <definedName name="_deo3">#REF!</definedName>
    <definedName name="_deo4" localSheetId="252">#REF!</definedName>
    <definedName name="_deo4">#REF!</definedName>
    <definedName name="_deo5" localSheetId="252">#REF!</definedName>
    <definedName name="_deo5">#REF!</definedName>
    <definedName name="_deo6" localSheetId="252">#REF!</definedName>
    <definedName name="_deo6">#REF!</definedName>
    <definedName name="_deo7" localSheetId="252">#REF!</definedName>
    <definedName name="_deo7">#REF!</definedName>
    <definedName name="_deo8" localSheetId="252">#REF!</definedName>
    <definedName name="_deo8">#REF!</definedName>
    <definedName name="_deo9" localSheetId="252">#REF!</definedName>
    <definedName name="_deo9">#REF!</definedName>
    <definedName name="_Fill" localSheetId="252" hidden="1">#REF!</definedName>
    <definedName name="_Fill" hidden="1">#REF!</definedName>
    <definedName name="_xlnm._FilterDatabase" localSheetId="253" hidden="1">'Du toan chi tiet'!$A$5:$L$962</definedName>
    <definedName name="_xlnm._FilterDatabase" localSheetId="261" hidden="1">'Gia VL'!$A$5:$H$193</definedName>
    <definedName name="_xlnm._FilterDatabase" localSheetId="247" hidden="1">Khaosat!$A$6:$I$47</definedName>
    <definedName name="_xlnm._FilterDatabase" localSheetId="248" hidden="1">'PT giaKS'!$A$6:$J$1612</definedName>
    <definedName name="_JK4" localSheetId="252">#REF!</definedName>
    <definedName name="_JK4" localSheetId="46">#REF!</definedName>
    <definedName name="_JK4" localSheetId="251">#REF!</definedName>
    <definedName name="_JK4">#REF!</definedName>
    <definedName name="_Key1" localSheetId="252" hidden="1">#REF!</definedName>
    <definedName name="_Key1" localSheetId="251" hidden="1">#REF!</definedName>
    <definedName name="_Key1" hidden="1">#REF!</definedName>
    <definedName name="_Key2" localSheetId="252" hidden="1">#REF!</definedName>
    <definedName name="_Key2" localSheetId="251" hidden="1">#REF!</definedName>
    <definedName name="_Key2" hidden="1">#REF!</definedName>
    <definedName name="_lap1" localSheetId="252">#REF!</definedName>
    <definedName name="_lap1">#REF!</definedName>
    <definedName name="_lap2" localSheetId="252">#REF!</definedName>
    <definedName name="_lap2">#REF!</definedName>
    <definedName name="_MUI1" localSheetId="252">#REF!</definedName>
    <definedName name="_MUI1">#REF!</definedName>
    <definedName name="_MUI101" localSheetId="252">#REF!</definedName>
    <definedName name="_MUI101">#REF!</definedName>
    <definedName name="_MUI11" localSheetId="252">#REF!</definedName>
    <definedName name="_MUI11">#REF!</definedName>
    <definedName name="_nd1" localSheetId="252">#REF!</definedName>
    <definedName name="_nd1">#REF!</definedName>
    <definedName name="_NET2" localSheetId="252">#REF!</definedName>
    <definedName name="_NET2">#REF!</definedName>
    <definedName name="_nh1" localSheetId="252">#REF!</definedName>
    <definedName name="_nh1">#REF!</definedName>
    <definedName name="_Order1" hidden="1">255</definedName>
    <definedName name="_Order2" hidden="1">255</definedName>
    <definedName name="_qa7" localSheetId="252">#REF!</definedName>
    <definedName name="_qa7" localSheetId="251">#REF!</definedName>
    <definedName name="_qa7">#REF!</definedName>
    <definedName name="_Sort" localSheetId="252" hidden="1">#REF!</definedName>
    <definedName name="_Sort" localSheetId="251" hidden="1">#REF!</definedName>
    <definedName name="_Sort" hidden="1">#REF!</definedName>
    <definedName name="A" localSheetId="252">#REF!</definedName>
    <definedName name="A">#REF!</definedName>
    <definedName name="A." localSheetId="252">#REF!</definedName>
    <definedName name="A.">#REF!</definedName>
    <definedName name="a_" localSheetId="252">#REF!</definedName>
    <definedName name="a_">#REF!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277Print_Titles" localSheetId="252">#REF!</definedName>
    <definedName name="a277Print_Titles">#REF!</definedName>
    <definedName name="AA" localSheetId="252">#REF!</definedName>
    <definedName name="AA">#REF!</definedName>
    <definedName name="Ab" localSheetId="252">#REF!</definedName>
    <definedName name="Ab">#REF!</definedName>
    <definedName name="Ag_" localSheetId="252">#REF!</definedName>
    <definedName name="Ag_">#REF!</definedName>
    <definedName name="All_Item" localSheetId="252">#REF!</definedName>
    <definedName name="All_Item">#REF!</definedName>
    <definedName name="ALPIN">#N/A</definedName>
    <definedName name="ALPJYOU">#N/A</definedName>
    <definedName name="ALPTOI">#N/A</definedName>
    <definedName name="Aq" localSheetId="252">#REF!</definedName>
    <definedName name="Aq">#REF!</definedName>
    <definedName name="As_" localSheetId="252">#REF!</definedName>
    <definedName name="As_">#REF!</definedName>
    <definedName name="AÙ" localSheetId="252">#REF!</definedName>
    <definedName name="AÙ">#REF!</definedName>
    <definedName name="B_Isc" localSheetId="252">#REF!</definedName>
    <definedName name="B_Isc">#REF!</definedName>
    <definedName name="ban" localSheetId="252">#REF!</definedName>
    <definedName name="ban" localSheetId="251">#REF!</definedName>
    <definedName name="ban">#REF!</definedName>
    <definedName name="Bang_cly" localSheetId="252">#REF!</definedName>
    <definedName name="Bang_cly">#REF!</definedName>
    <definedName name="Bang_CVC" localSheetId="252">#REF!</definedName>
    <definedName name="Bang_CVC">#REF!</definedName>
    <definedName name="bang_gia" localSheetId="252">#REF!</definedName>
    <definedName name="bang_gia">#REF!</definedName>
    <definedName name="Bang_travl" localSheetId="252">#REF!</definedName>
    <definedName name="Bang_travl">#REF!</definedName>
    <definedName name="bangtinh" localSheetId="252">#REF!</definedName>
    <definedName name="bangtinh" localSheetId="251">#REF!</definedName>
    <definedName name="bangtinh">#REF!</definedName>
    <definedName name="BarData" localSheetId="252">#REF!</definedName>
    <definedName name="BarData">#REF!</definedName>
    <definedName name="BB" localSheetId="252">#REF!</definedName>
    <definedName name="BB">#REF!</definedName>
    <definedName name="BC" localSheetId="252">#REF!</definedName>
    <definedName name="BC">#REF!</definedName>
    <definedName name="bcks" localSheetId="46">'[1]PT giaKS'!$Q$2</definedName>
    <definedName name="bcks">'PT giaKS'!$Q$2</definedName>
    <definedName name="bdd">1.5</definedName>
    <definedName name="BDMTK" localSheetId="252">#REF!</definedName>
    <definedName name="BDMTK">#REF!</definedName>
    <definedName name="BE" localSheetId="252">#REF!</definedName>
    <definedName name="BE">#REF!</definedName>
    <definedName name="BOQ" localSheetId="252">#REF!</definedName>
    <definedName name="BOQ">#REF!</definedName>
    <definedName name="bt" localSheetId="252">#REF!</definedName>
    <definedName name="bt">#REF!</definedName>
    <definedName name="BTK" localSheetId="252">#REF!</definedName>
    <definedName name="BTK">#REF!</definedName>
    <definedName name="BU" localSheetId="252">#REF!</definedName>
    <definedName name="BU">#REF!</definedName>
    <definedName name="Bust" localSheetId="252">#REF!</definedName>
    <definedName name="Bust" localSheetId="251">#REF!</definedName>
    <definedName name="Bust">#REF!</definedName>
    <definedName name="BV" localSheetId="252">#REF!</definedName>
    <definedName name="BV">#REF!</definedName>
    <definedName name="BVCISUMMARY" localSheetId="252">#REF!</definedName>
    <definedName name="BVCISUMMARY">#REF!</definedName>
    <definedName name="BVT" localSheetId="252">#REF!</definedName>
    <definedName name="BVT">#REF!</definedName>
    <definedName name="CACAU">1415247</definedName>
    <definedName name="cap" localSheetId="252">#REF!</definedName>
    <definedName name="cap">#REF!</definedName>
    <definedName name="cap0.7" localSheetId="252">#REF!</definedName>
    <definedName name="cap0.7">#REF!</definedName>
    <definedName name="Category_All" localSheetId="252">#REF!</definedName>
    <definedName name="Category_All">#REF!</definedName>
    <definedName name="CATIN">#N/A</definedName>
    <definedName name="CATJYOU">#N/A</definedName>
    <definedName name="CATSYU">#N/A</definedName>
    <definedName name="CATREC">#N/A</definedName>
    <definedName name="Cb" localSheetId="252">#REF!</definedName>
    <definedName name="Cb" localSheetId="251">#REF!</definedName>
    <definedName name="Cb">#REF!</definedName>
    <definedName name="CCT" localSheetId="252">#REF!</definedName>
    <definedName name="CCT">#REF!</definedName>
    <definedName name="CDCDZ22" localSheetId="252">#REF!</definedName>
    <definedName name="CDCDZ22" localSheetId="251">#REF!</definedName>
    <definedName name="CDCDZ22">#REF!</definedName>
    <definedName name="CDEDZ04" localSheetId="252">#REF!</definedName>
    <definedName name="CDEDZ04" localSheetId="251">#REF!</definedName>
    <definedName name="CDEDZ04">#REF!</definedName>
    <definedName name="CDEDZ22" localSheetId="252">#REF!</definedName>
    <definedName name="CDEDZ22" localSheetId="251">#REF!</definedName>
    <definedName name="CDEDZ22">#REF!</definedName>
    <definedName name="cfk" localSheetId="252">#REF!</definedName>
    <definedName name="cfk" localSheetId="251">#REF!</definedName>
    <definedName name="cfk">#REF!</definedName>
    <definedName name="Ckp" localSheetId="252">#REF!</definedName>
    <definedName name="Ckp" localSheetId="251">#REF!</definedName>
    <definedName name="Ckp">#REF!</definedName>
    <definedName name="CL" localSheetId="252">#REF!</definedName>
    <definedName name="CL">#REF!</definedName>
    <definedName name="Co" localSheetId="252">#REF!</definedName>
    <definedName name="Co">#REF!</definedName>
    <definedName name="COMMON" localSheetId="252">#REF!</definedName>
    <definedName name="COMMON">#REF!</definedName>
    <definedName name="CON_EQP_COS" localSheetId="252">#REF!</definedName>
    <definedName name="CON_EQP_COS">#REF!</definedName>
    <definedName name="CON_EQP_COST" localSheetId="252">#REF!</definedName>
    <definedName name="CON_EQP_COST">#REF!</definedName>
    <definedName name="CONST_EQ" localSheetId="252">#REF!</definedName>
    <definedName name="CONST_EQ">#REF!</definedName>
    <definedName name="Continue" localSheetId="252">#REF!</definedName>
    <definedName name="Continue" localSheetId="251">#REF!</definedName>
    <definedName name="Continue">#REF!</definedName>
    <definedName name="Cong_HM_DTCT" localSheetId="252">#REF!</definedName>
    <definedName name="Cong_HM_DTCT">#REF!</definedName>
    <definedName name="Cong_M_DTCT" localSheetId="252">#REF!</definedName>
    <definedName name="Cong_M_DTCT">#REF!</definedName>
    <definedName name="Cong_NC_DTCT" localSheetId="252">#REF!</definedName>
    <definedName name="Cong_NC_DTCT">#REF!</definedName>
    <definedName name="Cong_VL_DTCT" localSheetId="252">#REF!</definedName>
    <definedName name="Cong_VL_DTCT">#REF!</definedName>
    <definedName name="CONGPA1" localSheetId="252" hidden="1">{"'Sheet1'!$L$16"}</definedName>
    <definedName name="CONGPA1" localSheetId="46" hidden="1">{"'Sheet1'!$L$16"}</definedName>
    <definedName name="CONGPA1" localSheetId="251" hidden="1">{"'Sheet1'!$L$16"}</definedName>
    <definedName name="CONGPA1" hidden="1">{"'Sheet1'!$L$16"}</definedName>
    <definedName name="COT10DZ22" localSheetId="252">#REF!</definedName>
    <definedName name="COT10DZ22" localSheetId="251">#REF!</definedName>
    <definedName name="COT10DZ22">#REF!</definedName>
    <definedName name="COT12DZ22" localSheetId="252">#REF!</definedName>
    <definedName name="COT12DZ22" localSheetId="251">#REF!</definedName>
    <definedName name="COT12DZ22">#REF!</definedName>
    <definedName name="COT14DZ22" localSheetId="252">#REF!</definedName>
    <definedName name="COT14DZ22" localSheetId="251">#REF!</definedName>
    <definedName name="COT14DZ22">#REF!</definedName>
    <definedName name="COT20DZ22" localSheetId="252">#REF!</definedName>
    <definedName name="COT20DZ22" localSheetId="251">#REF!</definedName>
    <definedName name="COT20DZ22">#REF!</definedName>
    <definedName name="COTPYLONEDZ04" localSheetId="252">#REF!</definedName>
    <definedName name="COTPYLONEDZ04" localSheetId="251">#REF!</definedName>
    <definedName name="COTPYLONEDZ04">#REF!</definedName>
    <definedName name="COTTHEP10DZ22" localSheetId="252">#REF!</definedName>
    <definedName name="COTTHEP10DZ22" localSheetId="251">#REF!</definedName>
    <definedName name="COTTHEP10DZ22">#REF!</definedName>
    <definedName name="COTTHEP12DZ22" localSheetId="252">#REF!</definedName>
    <definedName name="COTTHEP12DZ22" localSheetId="251">#REF!</definedName>
    <definedName name="COTTHEP12DZ22">#REF!</definedName>
    <definedName name="COTTHEP9DZ22" localSheetId="252">#REF!</definedName>
    <definedName name="COTTHEP9DZ22" localSheetId="251">#REF!</definedName>
    <definedName name="COTTHEP9DZ22">#REF!</definedName>
    <definedName name="COTVUONGDZ04" localSheetId="252">#REF!</definedName>
    <definedName name="COTVUONGDZ04" localSheetId="251">#REF!</definedName>
    <definedName name="COTVUONGDZ04">#REF!</definedName>
    <definedName name="COVER" localSheetId="252">#REF!</definedName>
    <definedName name="COVER">#REF!</definedName>
    <definedName name="cpc" localSheetId="46">'[1]PT giaKS'!$N$2</definedName>
    <definedName name="cpc">'PT giaKS'!$N$2</definedName>
    <definedName name="cpk" localSheetId="252">#REF!</definedName>
    <definedName name="cpk">#REF!</definedName>
    <definedName name="CPLT" localSheetId="252">#REF!</definedName>
    <definedName name="CPLT" localSheetId="251">#REF!</definedName>
    <definedName name="CPLT">#REF!</definedName>
    <definedName name="CRITINST" localSheetId="252">#REF!</definedName>
    <definedName name="CRITINST">#REF!</definedName>
    <definedName name="CRITPURC" localSheetId="252">#REF!</definedName>
    <definedName name="CRITPURC">#REF!</definedName>
    <definedName name="CS_10" localSheetId="252">#REF!</definedName>
    <definedName name="CS_10">#REF!</definedName>
    <definedName name="CS_100" localSheetId="252">#REF!</definedName>
    <definedName name="CS_100">#REF!</definedName>
    <definedName name="CS_10S" localSheetId="252">#REF!</definedName>
    <definedName name="CS_10S">#REF!</definedName>
    <definedName name="CS_120" localSheetId="252">#REF!</definedName>
    <definedName name="CS_120">#REF!</definedName>
    <definedName name="CS_140" localSheetId="252">#REF!</definedName>
    <definedName name="CS_140">#REF!</definedName>
    <definedName name="CS_160" localSheetId="252">#REF!</definedName>
    <definedName name="CS_160">#REF!</definedName>
    <definedName name="CS_20" localSheetId="252">#REF!</definedName>
    <definedName name="CS_20">#REF!</definedName>
    <definedName name="CS_30" localSheetId="252">#REF!</definedName>
    <definedName name="CS_30">#REF!</definedName>
    <definedName name="CS_40" localSheetId="252">#REF!</definedName>
    <definedName name="CS_40">#REF!</definedName>
    <definedName name="CS_40S" localSheetId="252">#REF!</definedName>
    <definedName name="CS_40S">#REF!</definedName>
    <definedName name="CS_5S" localSheetId="252">#REF!</definedName>
    <definedName name="CS_5S">#REF!</definedName>
    <definedName name="CS_60" localSheetId="252">#REF!</definedName>
    <definedName name="CS_60">#REF!</definedName>
    <definedName name="CS_80" localSheetId="252">#REF!</definedName>
    <definedName name="CS_80">#REF!</definedName>
    <definedName name="CS_80S" localSheetId="252">#REF!</definedName>
    <definedName name="CS_80S">#REF!</definedName>
    <definedName name="CS_STD" localSheetId="252">#REF!</definedName>
    <definedName name="CS_STD">#REF!</definedName>
    <definedName name="CS_XS" localSheetId="252">#REF!</definedName>
    <definedName name="CS_XS">#REF!</definedName>
    <definedName name="CS_XXS" localSheetId="252">#REF!</definedName>
    <definedName name="CS_XXS">#REF!</definedName>
    <definedName name="CT" localSheetId="252">#REF!</definedName>
    <definedName name="CT">#REF!</definedName>
    <definedName name="ctdn9697" localSheetId="252">#REF!</definedName>
    <definedName name="ctdn9697">#REF!</definedName>
    <definedName name="ctiep" localSheetId="252">#REF!</definedName>
    <definedName name="ctiep">#REF!</definedName>
    <definedName name="cu" localSheetId="252">#REF!</definedName>
    <definedName name="cu" localSheetId="251">#REF!</definedName>
    <definedName name="cu">#REF!</definedName>
    <definedName name="CURRENCY" localSheetId="252">#REF!</definedName>
    <definedName name="CURRENCY">#REF!</definedName>
    <definedName name="cx" localSheetId="252">#REF!</definedName>
    <definedName name="cx">#REF!</definedName>
    <definedName name="chay1" localSheetId="252">#REF!</definedName>
    <definedName name="chay1">#REF!</definedName>
    <definedName name="chay10" localSheetId="252">#REF!</definedName>
    <definedName name="chay10">#REF!</definedName>
    <definedName name="chay2" localSheetId="252">#REF!</definedName>
    <definedName name="chay2">#REF!</definedName>
    <definedName name="chay3" localSheetId="252">#REF!</definedName>
    <definedName name="chay3">#REF!</definedName>
    <definedName name="chay4" localSheetId="252">#REF!</definedName>
    <definedName name="chay4">#REF!</definedName>
    <definedName name="chay5" localSheetId="252">#REF!</definedName>
    <definedName name="chay5">#REF!</definedName>
    <definedName name="chay6" localSheetId="252">#REF!</definedName>
    <definedName name="chay6">#REF!</definedName>
    <definedName name="chay7" localSheetId="252">#REF!</definedName>
    <definedName name="chay7">#REF!</definedName>
    <definedName name="chay8" localSheetId="252">#REF!</definedName>
    <definedName name="chay8">#REF!</definedName>
    <definedName name="chay9" localSheetId="252">#REF!</definedName>
    <definedName name="chay9">#REF!</definedName>
    <definedName name="chk" localSheetId="252">#REF!</definedName>
    <definedName name="chk">#REF!</definedName>
    <definedName name="Chs_bq" localSheetId="252">#REF!</definedName>
    <definedName name="Chs_bq">#REF!</definedName>
    <definedName name="Chsau" localSheetId="252">#REF!</definedName>
    <definedName name="Chsau">#REF!</definedName>
    <definedName name="d" localSheetId="252">#REF!</definedName>
    <definedName name="d">#REF!</definedName>
    <definedName name="d_" localSheetId="252">#REF!</definedName>
    <definedName name="d_">#REF!</definedName>
    <definedName name="D_7101A_B" localSheetId="252">#REF!</definedName>
    <definedName name="D_7101A_B">#REF!</definedName>
    <definedName name="d1_" localSheetId="252">#REF!</definedName>
    <definedName name="d1_">#REF!</definedName>
    <definedName name="d2_" localSheetId="252">#REF!</definedName>
    <definedName name="d2_">#REF!</definedName>
    <definedName name="d3_" localSheetId="252">#REF!</definedName>
    <definedName name="d3_">#REF!</definedName>
    <definedName name="DA" localSheetId="252">#REF!</definedName>
    <definedName name="DA">#REF!</definedName>
    <definedName name="data" localSheetId="252">#REF!</definedName>
    <definedName name="data">#REF!</definedName>
    <definedName name="Data11" localSheetId="252">#REF!</definedName>
    <definedName name="Data11">#REF!</definedName>
    <definedName name="Data41" localSheetId="252">#REF!</definedName>
    <definedName name="Data41">#REF!</definedName>
    <definedName name="_xlnm.Database" localSheetId="252">#REF!</definedName>
    <definedName name="_xlnm.Database" localSheetId="251">#REF!</definedName>
    <definedName name="_xlnm.Database">#REF!</definedName>
    <definedName name="day" localSheetId="252">#REF!</definedName>
    <definedName name="day">#REF!</definedName>
    <definedName name="DAYSU" localSheetId="252">#REF!</definedName>
    <definedName name="DAYSU" localSheetId="251">#REF!</definedName>
    <definedName name="DAYSU">#REF!</definedName>
    <definedName name="de" localSheetId="252">#REF!</definedName>
    <definedName name="de" localSheetId="251">#REF!</definedName>
    <definedName name="de">#REF!</definedName>
    <definedName name="den_bu" localSheetId="252">#REF!</definedName>
    <definedName name="den_bu">#REF!</definedName>
    <definedName name="df" localSheetId="252">#REF!</definedName>
    <definedName name="df" localSheetId="251">#REF!</definedName>
    <definedName name="df">#REF!</definedName>
    <definedName name="dfg" localSheetId="252" hidden="1">{"'Sheet1'!$L$16"}</definedName>
    <definedName name="dfg" localSheetId="46" hidden="1">{"'Sheet1'!$L$16"}</definedName>
    <definedName name="dfg" localSheetId="251" hidden="1">{"'Sheet1'!$L$16"}</definedName>
    <definedName name="dfg" hidden="1">{"'Sheet1'!$L$16"}</definedName>
    <definedName name="DG" localSheetId="252">#REF!</definedName>
    <definedName name="DG">#REF!</definedName>
    <definedName name="DGCS">33500</definedName>
    <definedName name="DGTH" localSheetId="252">#REF!</definedName>
    <definedName name="DGTH">#REF!</definedName>
    <definedName name="DNCD" localSheetId="252">#REF!</definedName>
    <definedName name="DNCD" localSheetId="251">#REF!</definedName>
    <definedName name="DNCD">#REF!</definedName>
    <definedName name="DNDZ22" localSheetId="252">#REF!</definedName>
    <definedName name="DNDZ22" localSheetId="251">#REF!</definedName>
    <definedName name="DNDZ22">#REF!</definedName>
    <definedName name="dobt" localSheetId="252">#REF!</definedName>
    <definedName name="dobt">#REF!</definedName>
    <definedName name="Doc">Docso!$L$18</definedName>
    <definedName name="Document_array" localSheetId="252">{"BCTHUE05.xls"}</definedName>
    <definedName name="Document_array" localSheetId="46">{"BCTHUE05.xls"}</definedName>
    <definedName name="Document_array" localSheetId="251">{"BCTHUE05.xls"}</definedName>
    <definedName name="Document_array">{"BCTHUE05.xls"}</definedName>
    <definedName name="Documents_array" localSheetId="252">#REF!</definedName>
    <definedName name="Documents_array" localSheetId="251">#REF!</definedName>
    <definedName name="Documents_array">#REF!</definedName>
    <definedName name="DonGia" localSheetId="252">#REF!</definedName>
    <definedName name="DonGia">#REF!</definedName>
    <definedName name="DonGia2" localSheetId="252">#REF!</definedName>
    <definedName name="DonGia2" localSheetId="251">#REF!</definedName>
    <definedName name="DonGia2">#REF!</definedName>
    <definedName name="ds" localSheetId="252">#REF!</definedName>
    <definedName name="ds" localSheetId="251">#REF!</definedName>
    <definedName name="ds">#REF!</definedName>
    <definedName name="DSUMDATA" localSheetId="252">#REF!</definedName>
    <definedName name="DSUMDATA">#REF!</definedName>
    <definedName name="DYÕ" localSheetId="252">#REF!</definedName>
    <definedName name="DYÕ" localSheetId="251">#REF!</definedName>
    <definedName name="DYÕ">#REF!</definedName>
    <definedName name="End_1" localSheetId="252">#REF!</definedName>
    <definedName name="End_1">#REF!</definedName>
    <definedName name="End_10" localSheetId="252">#REF!</definedName>
    <definedName name="End_10">#REF!</definedName>
    <definedName name="End_11" localSheetId="252">#REF!</definedName>
    <definedName name="End_11">#REF!</definedName>
    <definedName name="End_12" localSheetId="252">#REF!</definedName>
    <definedName name="End_12">#REF!</definedName>
    <definedName name="End_13" localSheetId="252">#REF!</definedName>
    <definedName name="End_13">#REF!</definedName>
    <definedName name="End_2" localSheetId="252">#REF!</definedName>
    <definedName name="End_2">#REF!</definedName>
    <definedName name="End_3" localSheetId="252">#REF!</definedName>
    <definedName name="End_3">#REF!</definedName>
    <definedName name="End_4" localSheetId="252">#REF!</definedName>
    <definedName name="End_4">#REF!</definedName>
    <definedName name="End_5" localSheetId="252">#REF!</definedName>
    <definedName name="End_5">#REF!</definedName>
    <definedName name="End_6" localSheetId="252">#REF!</definedName>
    <definedName name="End_6">#REF!</definedName>
    <definedName name="End_7" localSheetId="252">#REF!</definedName>
    <definedName name="End_7">#REF!</definedName>
    <definedName name="End_8" localSheetId="252">#REF!</definedName>
    <definedName name="End_8">#REF!</definedName>
    <definedName name="End_9" localSheetId="252">#REF!</definedName>
    <definedName name="End_9">#REF!</definedName>
    <definedName name="_xlnm.Extract" localSheetId="252">#REF!</definedName>
    <definedName name="_xlnm.Extract">#REF!</definedName>
    <definedName name="F" localSheetId="252">#REF!</definedName>
    <definedName name="F">#REF!</definedName>
    <definedName name="FACTOR" localSheetId="252">#REF!</definedName>
    <definedName name="FACTOR">#REF!</definedName>
    <definedName name="fc" localSheetId="252">#REF!</definedName>
    <definedName name="fc">#REF!</definedName>
    <definedName name="fc_" localSheetId="252">#REF!</definedName>
    <definedName name="fc_">#REF!</definedName>
    <definedName name="Fh" localSheetId="252">#REF!</definedName>
    <definedName name="Fh">#REF!</definedName>
    <definedName name="FS" localSheetId="252">#REF!</definedName>
    <definedName name="FS">#REF!</definedName>
    <definedName name="fy" localSheetId="252">#REF!</definedName>
    <definedName name="fy">#REF!</definedName>
    <definedName name="Fy_" localSheetId="252">#REF!</definedName>
    <definedName name="Fy_">#REF!</definedName>
    <definedName name="g_" localSheetId="252">#REF!</definedName>
    <definedName name="g_">#REF!</definedName>
    <definedName name="gbt" localSheetId="252">#REF!</definedName>
    <definedName name="gbt">#REF!</definedName>
    <definedName name="GDDCLTDZ22" localSheetId="252">#REF!</definedName>
    <definedName name="GDDCLTDZ22" localSheetId="251">#REF!</definedName>
    <definedName name="GDDCLTDZ22">#REF!</definedName>
    <definedName name="GDL" localSheetId="252">#REF!</definedName>
    <definedName name="GDL" localSheetId="251">#REF!</definedName>
    <definedName name="GDL">#REF!</definedName>
    <definedName name="geff" localSheetId="252">#REF!</definedName>
    <definedName name="geff" localSheetId="251">#REF!</definedName>
    <definedName name="geff">#REF!</definedName>
    <definedName name="GLL" localSheetId="252">#REF!</definedName>
    <definedName name="GLL" localSheetId="251">#REF!</definedName>
    <definedName name="GLL">#REF!</definedName>
    <definedName name="goc" localSheetId="252">#REF!</definedName>
    <definedName name="goc">#REF!</definedName>
    <definedName name="grB" localSheetId="252">#REF!</definedName>
    <definedName name="grB">#REF!</definedName>
    <definedName name="GS" localSheetId="252">#REF!</definedName>
    <definedName name="GS">#REF!</definedName>
    <definedName name="GT" localSheetId="252">#REF!</definedName>
    <definedName name="GT">#REF!</definedName>
    <definedName name="gtc" localSheetId="252">#REF!</definedName>
    <definedName name="gtc">#REF!</definedName>
    <definedName name="GTXL" localSheetId="252">#REF!</definedName>
    <definedName name="GTXL">#REF!</definedName>
    <definedName name="gi">0.4</definedName>
    <definedName name="gia_tien" localSheetId="252">#REF!</definedName>
    <definedName name="gia_tien">#REF!</definedName>
    <definedName name="gia_tien_BTN" localSheetId="252">#REF!</definedName>
    <definedName name="gia_tien_BTN">#REF!</definedName>
    <definedName name="giavcdd" localSheetId="252">#REF!</definedName>
    <definedName name="giavcdd">#REF!</definedName>
    <definedName name="giavcddedit" localSheetId="252">#REF!</definedName>
    <definedName name="giavcddedit">#REF!</definedName>
    <definedName name="h" localSheetId="252" hidden="1">{"'Sheet1'!$L$16"}</definedName>
    <definedName name="h" localSheetId="46" hidden="1">{"'Sheet1'!$L$16"}</definedName>
    <definedName name="h" localSheetId="251" hidden="1">{"'Sheet1'!$L$16"}</definedName>
    <definedName name="h" hidden="1">{"'Sheet1'!$L$16"}</definedName>
    <definedName name="Ha" localSheetId="252">#REF!</definedName>
    <definedName name="Ha">#REF!</definedName>
    <definedName name="hc" localSheetId="252">#REF!</definedName>
    <definedName name="hc" localSheetId="251">#REF!</definedName>
    <definedName name="hc">#REF!</definedName>
    <definedName name="HCM" localSheetId="252">#REF!</definedName>
    <definedName name="HCM">#REF!</definedName>
    <definedName name="HCT" localSheetId="252">#REF!</definedName>
    <definedName name="HCT">#REF!</definedName>
    <definedName name="HDV" localSheetId="252">#REF!</definedName>
    <definedName name="HDV">#REF!</definedName>
    <definedName name="Hello" localSheetId="252">#REF!</definedName>
    <definedName name="Hello" localSheetId="251">#REF!</definedName>
    <definedName name="Hello">#REF!</definedName>
    <definedName name="HH" localSheetId="252">#REF!</definedName>
    <definedName name="HH">#REF!</definedName>
    <definedName name="hien" localSheetId="252">#REF!</definedName>
    <definedName name="hien">#REF!</definedName>
    <definedName name="HM" localSheetId="252">#REF!</definedName>
    <definedName name="HM">#REF!</definedName>
    <definedName name="hmc" localSheetId="46">'[1]PT giaKS'!$R$2</definedName>
    <definedName name="hmc">'PT giaKS'!$R$2</definedName>
    <definedName name="HMS" localSheetId="252">#REF!</definedName>
    <definedName name="HMS">#REF!</definedName>
    <definedName name="HOME_MANP" localSheetId="252">#REF!</definedName>
    <definedName name="HOME_MANP">#REF!</definedName>
    <definedName name="HOMEOFFICE_COST" localSheetId="252">#REF!</definedName>
    <definedName name="HOMEOFFICE_COST">#REF!</definedName>
    <definedName name="HS" localSheetId="252">#REF!</definedName>
    <definedName name="HS">#REF!</definedName>
    <definedName name="Hsc" localSheetId="252">#REF!</definedName>
    <definedName name="Hsc" localSheetId="251">#REF!</definedName>
    <definedName name="Hsc">#REF!</definedName>
    <definedName name="HSlan" localSheetId="252">#REF!</definedName>
    <definedName name="HSlan">#REF!</definedName>
    <definedName name="hsm" localSheetId="46">'[1]PT giaKS'!$M$2</definedName>
    <definedName name="hsm">'PT giaKS'!$M$2</definedName>
    <definedName name="hsn">0.5</definedName>
    <definedName name="hsnc" localSheetId="46">'[1]PT giaKS'!$L$2</definedName>
    <definedName name="hsnc">'PT giaKS'!$L$2</definedName>
    <definedName name="HSPCKV">0.3</definedName>
    <definedName name="HSTH" localSheetId="252">#REF!</definedName>
    <definedName name="HSTH">#REF!</definedName>
    <definedName name="hsvl" localSheetId="46">'[1]PT giaKS'!$K$2</definedName>
    <definedName name="hsvl">'PT giaKS'!$K$2</definedName>
    <definedName name="HSxm" localSheetId="252">#REF!</definedName>
    <definedName name="HSxm">#REF!</definedName>
    <definedName name="HTC" localSheetId="252">#REF!</definedName>
    <definedName name="HTC">#REF!</definedName>
    <definedName name="HTD" localSheetId="252">#REF!</definedName>
    <definedName name="HTD">#REF!</definedName>
    <definedName name="HTML_CodePage" hidden="1">950</definedName>
    <definedName name="HTML_Control" localSheetId="252" hidden="1">{"'Sheet1'!$L$16"}</definedName>
    <definedName name="HTML_Control" localSheetId="46" hidden="1">{"'Sheet1'!$L$16"}</definedName>
    <definedName name="HTML_Control" localSheetId="251"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T" localSheetId="252">#REF!</definedName>
    <definedName name="HTT">#REF!</definedName>
    <definedName name="HTV" localSheetId="252">#REF!</definedName>
    <definedName name="HTV">#REF!</definedName>
    <definedName name="huy" localSheetId="252" hidden="1">{"'Sheet1'!$L$16"}</definedName>
    <definedName name="huy" localSheetId="46" hidden="1">{"'Sheet1'!$L$16"}</definedName>
    <definedName name="huy" localSheetId="251" hidden="1">{"'Sheet1'!$L$16"}</definedName>
    <definedName name="huy" hidden="1">{"'Sheet1'!$L$16"}</definedName>
    <definedName name="HVC" localSheetId="252">#REF!</definedName>
    <definedName name="HVC">#REF!</definedName>
    <definedName name="HVK" localSheetId="252">#REF!</definedName>
    <definedName name="HVK">#REF!</definedName>
    <definedName name="HVT" localSheetId="252">#REF!</definedName>
    <definedName name="HVT">#REF!</definedName>
    <definedName name="I" localSheetId="252">#REF!</definedName>
    <definedName name="I">#REF!</definedName>
    <definedName name="I_A" localSheetId="252">#REF!</definedName>
    <definedName name="I_A" localSheetId="251">#REF!</definedName>
    <definedName name="I_A">#REF!</definedName>
    <definedName name="I_B" localSheetId="252">#REF!</definedName>
    <definedName name="I_B" localSheetId="251">#REF!</definedName>
    <definedName name="I_B">#REF!</definedName>
    <definedName name="I_c" localSheetId="252">#REF!</definedName>
    <definedName name="I_c" localSheetId="251">#REF!</definedName>
    <definedName name="I_c">#REF!</definedName>
    <definedName name="IDLAB_COST" localSheetId="252">#REF!</definedName>
    <definedName name="IDLAB_COST">#REF!</definedName>
    <definedName name="II_A" localSheetId="252">#REF!</definedName>
    <definedName name="II_A" localSheetId="251">#REF!</definedName>
    <definedName name="II_A">#REF!</definedName>
    <definedName name="II_B" localSheetId="252">#REF!</definedName>
    <definedName name="II_B" localSheetId="251">#REF!</definedName>
    <definedName name="II_B">#REF!</definedName>
    <definedName name="II_c" localSheetId="252">#REF!</definedName>
    <definedName name="II_c" localSheetId="251">#REF!</definedName>
    <definedName name="II_c">#REF!</definedName>
    <definedName name="III_a" localSheetId="252">#REF!</definedName>
    <definedName name="III_a" localSheetId="251">#REF!</definedName>
    <definedName name="III_a">#REF!</definedName>
    <definedName name="III_B" localSheetId="252">#REF!</definedName>
    <definedName name="III_B" localSheetId="251">#REF!</definedName>
    <definedName name="III_B">#REF!</definedName>
    <definedName name="III_c" localSheetId="252">#REF!</definedName>
    <definedName name="III_c" localSheetId="251">#REF!</definedName>
    <definedName name="III_c">#REF!</definedName>
    <definedName name="IND_LAB" localSheetId="252">#REF!</definedName>
    <definedName name="IND_LAB">#REF!</definedName>
    <definedName name="INDMANP" localSheetId="252">#REF!</definedName>
    <definedName name="INDMANP">#REF!</definedName>
    <definedName name="Ip" localSheetId="252">#REF!</definedName>
    <definedName name="Ip" localSheetId="251">#REF!</definedName>
    <definedName name="Ip">#REF!</definedName>
    <definedName name="Ip_" localSheetId="252">#REF!</definedName>
    <definedName name="Ip_">#REF!</definedName>
    <definedName name="j" localSheetId="252">#REF!</definedName>
    <definedName name="j">#REF!</definedName>
    <definedName name="j1." localSheetId="252">#REF!</definedName>
    <definedName name="j1.">#REF!</definedName>
    <definedName name="j2.." localSheetId="252">#REF!</definedName>
    <definedName name="j2..">#REF!</definedName>
    <definedName name="j356C8" localSheetId="252">#REF!</definedName>
    <definedName name="j356C8">#REF!</definedName>
    <definedName name="K" localSheetId="252">#REF!</definedName>
    <definedName name="K">#REF!</definedName>
    <definedName name="KA" localSheetId="252">#REF!</definedName>
    <definedName name="KA" localSheetId="251">#REF!</definedName>
    <definedName name="KA">#REF!</definedName>
    <definedName name="KAE" localSheetId="252">#REF!</definedName>
    <definedName name="KAE" localSheetId="251">#REF!</definedName>
    <definedName name="KAE">#REF!</definedName>
    <definedName name="KAS" localSheetId="252">#REF!</definedName>
    <definedName name="KAS" localSheetId="251">#REF!</definedName>
    <definedName name="KAS">#REF!</definedName>
    <definedName name="kcong" localSheetId="252">#REF!</definedName>
    <definedName name="kcong">#REF!</definedName>
    <definedName name="kiem" localSheetId="252">#REF!</definedName>
    <definedName name="kiem">#REF!</definedName>
    <definedName name="kk">0.8</definedName>
    <definedName name="KP" localSheetId="252">#REF!</definedName>
    <definedName name="KP" localSheetId="251">#REF!</definedName>
    <definedName name="KP">#REF!</definedName>
    <definedName name="KPC">0.7</definedName>
    <definedName name="KVC" localSheetId="252">#REF!</definedName>
    <definedName name="KVC">#REF!</definedName>
    <definedName name="kh" localSheetId="252">#REF!</definedName>
    <definedName name="kh">#REF!</definedName>
    <definedName name="KHL" localSheetId="252">#REF!</definedName>
    <definedName name="KHL">#REF!</definedName>
    <definedName name="L" localSheetId="252">#REF!</definedName>
    <definedName name="L">#REF!</definedName>
    <definedName name="Lc" localSheetId="252">#REF!</definedName>
    <definedName name="Lc">#REF!</definedName>
    <definedName name="LCD" localSheetId="252">#REF!</definedName>
    <definedName name="LCD">#REF!</definedName>
    <definedName name="LCT" localSheetId="252">#REF!</definedName>
    <definedName name="LCT">#REF!</definedName>
    <definedName name="LDAM" localSheetId="252">#REF!</definedName>
    <definedName name="LDAM">#REF!</definedName>
    <definedName name="LDM" localSheetId="252">#REF!</definedName>
    <definedName name="LDM">#REF!</definedName>
    <definedName name="LgL" localSheetId="252">#REF!</definedName>
    <definedName name="LgL" localSheetId="251">#REF!</definedName>
    <definedName name="LgL">#REF!</definedName>
    <definedName name="LLs" localSheetId="252">#REF!</definedName>
    <definedName name="LLs" localSheetId="251">#REF!</definedName>
    <definedName name="LLs">#REF!</definedName>
    <definedName name="Lnsc" localSheetId="252">#REF!</definedName>
    <definedName name="Lnsc">#REF!</definedName>
    <definedName name="Lo" localSheetId="252">#REF!</definedName>
    <definedName name="Lo">#REF!</definedName>
    <definedName name="LTD" localSheetId="252">#REF!</definedName>
    <definedName name="LTD">#REF!</definedName>
    <definedName name="lVC" localSheetId="252">#REF!</definedName>
    <definedName name="lVC">#REF!</definedName>
    <definedName name="LVT" localSheetId="252">#REF!</definedName>
    <definedName name="LVT">#REF!</definedName>
    <definedName name="m" localSheetId="252">#REF!</definedName>
    <definedName name="m">#REF!</definedName>
    <definedName name="m1." localSheetId="252">#REF!</definedName>
    <definedName name="m1.">#REF!</definedName>
    <definedName name="MAJ_CON_EQP" localSheetId="252">#REF!</definedName>
    <definedName name="MAJ_CON_EQP">#REF!</definedName>
    <definedName name="mc" localSheetId="252">#REF!</definedName>
    <definedName name="mc">#REF!</definedName>
    <definedName name="me" localSheetId="252">#REF!</definedName>
    <definedName name="me">#REF!</definedName>
    <definedName name="MG_A" localSheetId="252">#REF!</definedName>
    <definedName name="MG_A">#REF!</definedName>
    <definedName name="ML" localSheetId="252">#REF!</definedName>
    <definedName name="ML">#REF!</definedName>
    <definedName name="MM" localSheetId="252">#REF!</definedName>
    <definedName name="MM">#REF!</definedName>
    <definedName name="MN12DZ22" localSheetId="252">#REF!</definedName>
    <definedName name="MN12DZ22" localSheetId="251">#REF!</definedName>
    <definedName name="MN12DZ22">#REF!</definedName>
    <definedName name="MN15DZ22" localSheetId="252">#REF!</definedName>
    <definedName name="MN15DZ22" localSheetId="251">#REF!</definedName>
    <definedName name="MN15DZ22">#REF!</definedName>
    <definedName name="MN18DZ22" localSheetId="252">#REF!</definedName>
    <definedName name="MN18DZ22" localSheetId="251">#REF!</definedName>
    <definedName name="MN18DZ22">#REF!</definedName>
    <definedName name="MONGMSDZ04" localSheetId="252">#REF!</definedName>
    <definedName name="MONGMSDZ04" localSheetId="251">#REF!</definedName>
    <definedName name="MONGMSDZ04">#REF!</definedName>
    <definedName name="Morong" localSheetId="252">#REF!</definedName>
    <definedName name="Morong">#REF!</definedName>
    <definedName name="Morong4054_85" localSheetId="252">#REF!</definedName>
    <definedName name="Morong4054_85">#REF!</definedName>
    <definedName name="morong4054_98" localSheetId="252">#REF!</definedName>
    <definedName name="morong4054_98">#REF!</definedName>
    <definedName name="MS5DZ22" localSheetId="252">#REF!</definedName>
    <definedName name="MS5DZ22" localSheetId="251">#REF!</definedName>
    <definedName name="MS5DZ22">#REF!</definedName>
    <definedName name="MS6DZ22" localSheetId="252">#REF!</definedName>
    <definedName name="MS6DZ22" localSheetId="251">#REF!</definedName>
    <definedName name="MS6DZ22">#REF!</definedName>
    <definedName name="MS7DZ22" localSheetId="252">#REF!</definedName>
    <definedName name="MS7DZ22" localSheetId="251">#REF!</definedName>
    <definedName name="MS7DZ22">#REF!</definedName>
    <definedName name="MT" localSheetId="252">#REF!</definedName>
    <definedName name="MT">#REF!</definedName>
    <definedName name="MT2DZ22" localSheetId="252">#REF!</definedName>
    <definedName name="MT2DZ22" localSheetId="251">#REF!</definedName>
    <definedName name="MT2DZ22">#REF!</definedName>
    <definedName name="MT3DZ22" localSheetId="252">#REF!</definedName>
    <definedName name="MT3DZ22" localSheetId="251">#REF!</definedName>
    <definedName name="MT3DZ22">#REF!</definedName>
    <definedName name="Mu" localSheetId="252">#REF!</definedName>
    <definedName name="Mu">#REF!</definedName>
    <definedName name="Mu_" localSheetId="252">#REF!</definedName>
    <definedName name="Mu_">#REF!</definedName>
    <definedName name="MVT" localSheetId="252">#REF!</definedName>
    <definedName name="MVT">#REF!</definedName>
    <definedName name="n1_" localSheetId="252">#REF!</definedName>
    <definedName name="n1_">#REF!</definedName>
    <definedName name="n2_" localSheetId="252">#REF!</definedName>
    <definedName name="n2_">#REF!</definedName>
    <definedName name="n3_" localSheetId="252">#REF!</definedName>
    <definedName name="n3_">#REF!</definedName>
    <definedName name="n4_" localSheetId="252">#REF!</definedName>
    <definedName name="n4_">#REF!</definedName>
    <definedName name="NCcap0.7" localSheetId="252">#REF!</definedName>
    <definedName name="NCcap0.7">#REF!</definedName>
    <definedName name="NCcap1" localSheetId="252">#REF!</definedName>
    <definedName name="NCcap1">#REF!</definedName>
    <definedName name="NET" localSheetId="252">#REF!</definedName>
    <definedName name="NET">#REF!</definedName>
    <definedName name="NET_1" localSheetId="252">#REF!</definedName>
    <definedName name="NET_1">#REF!</definedName>
    <definedName name="NET_ANA" localSheetId="252">#REF!</definedName>
    <definedName name="NET_ANA">#REF!</definedName>
    <definedName name="NET_ANA_1" localSheetId="252">#REF!</definedName>
    <definedName name="NET_ANA_1">#REF!</definedName>
    <definedName name="NET_ANA_2" localSheetId="252">#REF!</definedName>
    <definedName name="NET_ANA_2">#REF!</definedName>
    <definedName name="Nms" localSheetId="252">#REF!</definedName>
    <definedName name="Nms" localSheetId="251">#REF!</definedName>
    <definedName name="Nms">#REF!</definedName>
    <definedName name="nn">1.15</definedName>
    <definedName name="No" localSheetId="252">#REF!</definedName>
    <definedName name="No">#REF!</definedName>
    <definedName name="noc" localSheetId="252">#REF!</definedName>
    <definedName name="noc">#REF!</definedName>
    <definedName name="nop" localSheetId="252">#REF!</definedName>
    <definedName name="nop">#REF!</definedName>
    <definedName name="Np" localSheetId="252">#REF!</definedName>
    <definedName name="Np" localSheetId="251">#REF!</definedName>
    <definedName name="Np">#REF!</definedName>
    <definedName name="Np_" localSheetId="252">#REF!</definedName>
    <definedName name="Np_">#REF!</definedName>
    <definedName name="Nq" localSheetId="252">#REF!</definedName>
    <definedName name="Nq">#REF!</definedName>
    <definedName name="nxc" localSheetId="252">#REF!</definedName>
    <definedName name="nxc">#REF!</definedName>
    <definedName name="nxp" localSheetId="252">#REF!</definedName>
    <definedName name="nxp">#REF!</definedName>
    <definedName name="NH" localSheetId="252">#REF!</definedName>
    <definedName name="NH">#REF!</definedName>
    <definedName name="NHot" localSheetId="252">#REF!</definedName>
    <definedName name="NHot">#REF!</definedName>
    <definedName name="paks" localSheetId="46">'[1]PT giaKS'!$P$2</definedName>
    <definedName name="paks">'PT giaKS'!$P$2</definedName>
    <definedName name="PRICE" localSheetId="252">#REF!</definedName>
    <definedName name="PRICE">#REF!</definedName>
    <definedName name="PRICE1" localSheetId="252">#REF!</definedName>
    <definedName name="PRICE1">#REF!</definedName>
    <definedName name="_xlnm.Print_Area" localSheetId="252">#REF!</definedName>
    <definedName name="_xlnm.Print_Area" localSheetId="46">#REF!</definedName>
    <definedName name="_xlnm.Print_Area" localSheetId="259">'duc pho'!$A$3:$K$609</definedName>
    <definedName name="_xlnm.Print_Area" localSheetId="262">SSVL!$A$1:$P$28</definedName>
    <definedName name="_xlnm.Print_Area" localSheetId="246">TongDT!$D$1:$J$79</definedName>
    <definedName name="_xlnm.Print_Area">#REF!</definedName>
    <definedName name="PRINT_AREA_MI" localSheetId="252">#REF!</definedName>
    <definedName name="PRINT_AREA_MI" localSheetId="46">#REF!</definedName>
    <definedName name="PRINT_AREA_MI" localSheetId="251">#REF!</definedName>
    <definedName name="PRINT_AREA_MI">#REF!</definedName>
    <definedName name="_xlnm.Print_Titles" localSheetId="253">'Du toan chi tiet'!$5:$6</definedName>
    <definedName name="_xlnm.Print_Titles" localSheetId="259">'duc pho'!$5:$6</definedName>
    <definedName name="_xlnm.Print_Titles" localSheetId="261">'Gia VL'!$5:$5</definedName>
    <definedName name="_xlnm.Print_Titles" localSheetId="247">Khaosat!$6:$6</definedName>
    <definedName name="_xlnm.Print_Titles" localSheetId="250">'NC,M KS'!$3:$3</definedName>
    <definedName name="_xlnm.Print_Titles" localSheetId="248">'PT giaKS'!$6:$6</definedName>
    <definedName name="_xlnm.Print_Titles" localSheetId="246">TongDT!$5:$5</definedName>
    <definedName name="_xlnm.Print_Titles" localSheetId="249">VLKS!$6:$6</definedName>
    <definedName name="_xlnm.Print_Titles">#N/A</definedName>
    <definedName name="PRINT_TITLES_MI" localSheetId="252">#REF!</definedName>
    <definedName name="PRINT_TITLES_MI">#REF!</definedName>
    <definedName name="PRINTA" localSheetId="252">#REF!</definedName>
    <definedName name="PRINTA">#REF!</definedName>
    <definedName name="PRINTB" localSheetId="252">#REF!</definedName>
    <definedName name="PRINTB">#REF!</definedName>
    <definedName name="PRINTC" localSheetId="252">#REF!</definedName>
    <definedName name="PRINTC">#REF!</definedName>
    <definedName name="PROPOSAL" localSheetId="252">#REF!</definedName>
    <definedName name="PROPOSAL">#REF!</definedName>
    <definedName name="PT_Duong" localSheetId="252">#REF!</definedName>
    <definedName name="PT_Duong">#REF!</definedName>
    <definedName name="ptdg" localSheetId="252">#REF!</definedName>
    <definedName name="ptdg">#REF!</definedName>
    <definedName name="PTDG_cau" localSheetId="252">#REF!</definedName>
    <definedName name="PTDG_cau">#REF!</definedName>
    <definedName name="PTT" localSheetId="252">#REF!</definedName>
    <definedName name="PTT">#REF!</definedName>
    <definedName name="pw" localSheetId="252">#REF!</definedName>
    <definedName name="pw">#REF!</definedName>
    <definedName name="phu_luc_vua" localSheetId="252">#REF!</definedName>
    <definedName name="phu_luc_vua">#REF!</definedName>
    <definedName name="q" localSheetId="252">#REF!</definedName>
    <definedName name="q" localSheetId="251">#REF!</definedName>
    <definedName name="q">#REF!</definedName>
    <definedName name="RDAM" localSheetId="252">#REF!</definedName>
    <definedName name="RDAM">#REF!</definedName>
    <definedName name="re" localSheetId="252" hidden="1">{"'Sheet1'!$L$16"}</definedName>
    <definedName name="re" localSheetId="46" hidden="1">{"'Sheet1'!$L$16"}</definedName>
    <definedName name="re" localSheetId="251" hidden="1">{"'Sheet1'!$L$16"}</definedName>
    <definedName name="re" hidden="1">{"'Sheet1'!$L$16"}</definedName>
    <definedName name="RECOUT">#N/A</definedName>
    <definedName name="RFP003A" localSheetId="252">#REF!</definedName>
    <definedName name="RFP003A">#REF!</definedName>
    <definedName name="RFP003B" localSheetId="252">#REF!</definedName>
    <definedName name="RFP003B">#REF!</definedName>
    <definedName name="RFP003C" localSheetId="252">#REF!</definedName>
    <definedName name="RFP003C">#REF!</definedName>
    <definedName name="RFP003D" localSheetId="252">#REF!</definedName>
    <definedName name="RFP003D">#REF!</definedName>
    <definedName name="RFP003E" localSheetId="252">#REF!</definedName>
    <definedName name="RFP003E">#REF!</definedName>
    <definedName name="RFP003F" localSheetId="252">#REF!</definedName>
    <definedName name="RFP003F">#REF!</definedName>
    <definedName name="Rh" localSheetId="252">#REF!</definedName>
    <definedName name="Rh">#REF!</definedName>
    <definedName name="rnp">32</definedName>
    <definedName name="RR" localSheetId="252">#REF!</definedName>
    <definedName name="RR">#REF!</definedName>
    <definedName name="RTT" localSheetId="252">#REF!</definedName>
    <definedName name="RTT">#REF!</definedName>
    <definedName name="s." localSheetId="252">#REF!</definedName>
    <definedName name="s.">#REF!</definedName>
    <definedName name="s1_" localSheetId="252">#REF!</definedName>
    <definedName name="s1_">#REF!</definedName>
    <definedName name="s2_" localSheetId="252">#REF!</definedName>
    <definedName name="s2_">#REF!</definedName>
    <definedName name="s3_" localSheetId="252">#REF!</definedName>
    <definedName name="s3_">#REF!</definedName>
    <definedName name="s4_" localSheetId="252">#REF!</definedName>
    <definedName name="s4_">#REF!</definedName>
    <definedName name="scao98" localSheetId="252">#REF!</definedName>
    <definedName name="scao98">#REF!</definedName>
    <definedName name="SCH" localSheetId="252">#REF!</definedName>
    <definedName name="SCH">#REF!</definedName>
    <definedName name="Shoes" localSheetId="252">#REF!</definedName>
    <definedName name="Shoes" localSheetId="251">#REF!</definedName>
    <definedName name="Shoes">#REF!</definedName>
    <definedName name="sieucao" localSheetId="252">#REF!</definedName>
    <definedName name="sieucao">#REF!</definedName>
    <definedName name="SIZE" localSheetId="252">#REF!</definedName>
    <definedName name="SIZE">#REF!</definedName>
    <definedName name="SODUCK" localSheetId="252">#REF!</definedName>
    <definedName name="SODUCK">#REF!</definedName>
    <definedName name="SODUDK" localSheetId="252">#REF!</definedName>
    <definedName name="SODUDK">#REF!</definedName>
    <definedName name="SOHIEUTK" localSheetId="252">#REF!</definedName>
    <definedName name="SOHIEUTK">#REF!</definedName>
    <definedName name="Solan" localSheetId="252">#REF!</definedName>
    <definedName name="Solan">#REF!</definedName>
    <definedName name="SORT" localSheetId="252">#REF!</definedName>
    <definedName name="SORT">#REF!</definedName>
    <definedName name="SPEC" localSheetId="252">#REF!</definedName>
    <definedName name="SPEC">#REF!</definedName>
    <definedName name="SPECSUMMARY" localSheetId="252">#REF!</definedName>
    <definedName name="SPECSUMMARY">#REF!</definedName>
    <definedName name="Start_1" localSheetId="252">#REF!</definedName>
    <definedName name="Start_1">#REF!</definedName>
    <definedName name="Start_10" localSheetId="252">#REF!</definedName>
    <definedName name="Start_10">#REF!</definedName>
    <definedName name="Start_11" localSheetId="252">#REF!</definedName>
    <definedName name="Start_11">#REF!</definedName>
    <definedName name="Start_12" localSheetId="252">#REF!</definedName>
    <definedName name="Start_12">#REF!</definedName>
    <definedName name="Start_13" localSheetId="252">#REF!</definedName>
    <definedName name="Start_13">#REF!</definedName>
    <definedName name="Start_2" localSheetId="252">#REF!</definedName>
    <definedName name="Start_2">#REF!</definedName>
    <definedName name="Start_3" localSheetId="252">#REF!</definedName>
    <definedName name="Start_3">#REF!</definedName>
    <definedName name="Start_4" localSheetId="252">#REF!</definedName>
    <definedName name="Start_4">#REF!</definedName>
    <definedName name="Start_5" localSheetId="252">#REF!</definedName>
    <definedName name="Start_5">#REF!</definedName>
    <definedName name="Start_6" localSheetId="252">#REF!</definedName>
    <definedName name="Start_6">#REF!</definedName>
    <definedName name="Start_7" localSheetId="252">#REF!</definedName>
    <definedName name="Start_7">#REF!</definedName>
    <definedName name="Start_8" localSheetId="252">#REF!</definedName>
    <definedName name="Start_8">#REF!</definedName>
    <definedName name="Start_9" localSheetId="252">#REF!</definedName>
    <definedName name="Start_9">#REF!</definedName>
    <definedName name="SUMMARY" localSheetId="252">#REF!</definedName>
    <definedName name="SUMMARY">#REF!</definedName>
    <definedName name="taluy" localSheetId="252">#REF!</definedName>
    <definedName name="taluy">#REF!</definedName>
    <definedName name="TAM" localSheetId="252">#REF!</definedName>
    <definedName name="TAM">#REF!</definedName>
    <definedName name="TaxTV">10%</definedName>
    <definedName name="TaxXL">5%</definedName>
    <definedName name="TBTT" localSheetId="252">#REF!</definedName>
    <definedName name="TBTT">#REF!</definedName>
    <definedName name="Tchuan" localSheetId="252">#REF!</definedName>
    <definedName name="Tchuan">#REF!</definedName>
    <definedName name="TD" localSheetId="252">#REF!</definedName>
    <definedName name="TD">#REF!</definedName>
    <definedName name="TDDZ04" localSheetId="252">#REF!</definedName>
    <definedName name="TDDZ04" localSheetId="251">#REF!</definedName>
    <definedName name="TDDZ04">#REF!</definedName>
    <definedName name="TDDZ22" localSheetId="252">#REF!</definedName>
    <definedName name="TDDZ22" localSheetId="251">#REF!</definedName>
    <definedName name="TDDZ22">#REF!</definedName>
    <definedName name="TDng" localSheetId="252">#REF!</definedName>
    <definedName name="TDng">#REF!</definedName>
    <definedName name="TDoto" localSheetId="252">#REF!</definedName>
    <definedName name="TDoto">#REF!</definedName>
    <definedName name="TDxn" localSheetId="252">#REF!</definedName>
    <definedName name="TDxn">#REF!</definedName>
    <definedName name="Tien" localSheetId="252">#REF!</definedName>
    <definedName name="Tien">#REF!</definedName>
    <definedName name="TinhVC" localSheetId="252">#REF!</definedName>
    <definedName name="TinhVC" localSheetId="251">#REF!</definedName>
    <definedName name="TinhVC">#REF!</definedName>
    <definedName name="TITAN" localSheetId="252">#REF!</definedName>
    <definedName name="TITAN">#REF!</definedName>
    <definedName name="Tle" localSheetId="252">#REF!</definedName>
    <definedName name="Tle">#REF!</definedName>
    <definedName name="tmdt" localSheetId="46">[1]TongDT!$I$2</definedName>
    <definedName name="tmdt">TongDT!$L$2</definedName>
    <definedName name="tn" localSheetId="46">'[1]PT giaKS'!$O$2</definedName>
    <definedName name="tn">'PT giaKS'!$O$2</definedName>
    <definedName name="TPLRP" localSheetId="252">#REF!</definedName>
    <definedName name="TPLRP">#REF!</definedName>
    <definedName name="TPSCO" localSheetId="252">#REF!</definedName>
    <definedName name="TPSCO">#REF!</definedName>
    <definedName name="TPSNO" localSheetId="252">#REF!</definedName>
    <definedName name="TPSNO">#REF!</definedName>
    <definedName name="ttbt" localSheetId="252">#REF!</definedName>
    <definedName name="ttbt">#REF!</definedName>
    <definedName name="TTT" localSheetId="252">#REF!</definedName>
    <definedName name="TTT">#REF!</definedName>
    <definedName name="tthi" localSheetId="252">#REF!</definedName>
    <definedName name="tthi">#REF!</definedName>
    <definedName name="ty_le" localSheetId="252">#REF!</definedName>
    <definedName name="ty_le">#REF!</definedName>
    <definedName name="Ty_Le_1" localSheetId="252">#REF!</definedName>
    <definedName name="Ty_Le_1" localSheetId="251">#REF!</definedName>
    <definedName name="Ty_Le_1">#REF!</definedName>
    <definedName name="ty_le_BTN" localSheetId="252">#REF!</definedName>
    <definedName name="ty_le_BTN">#REF!</definedName>
    <definedName name="Ty_le1" localSheetId="252">#REF!</definedName>
    <definedName name="Ty_le1">#REF!</definedName>
    <definedName name="thepma">30408</definedName>
    <definedName name="thepmaBL">34500</definedName>
    <definedName name="thepmacl">34500</definedName>
    <definedName name="THI" localSheetId="252">#REF!</definedName>
    <definedName name="THI">#REF!</definedName>
    <definedName name="Tra_DM_su_dung" localSheetId="252">#REF!</definedName>
    <definedName name="Tra_DM_su_dung">#REF!</definedName>
    <definedName name="Tra_don_gia_KS" localSheetId="252">#REF!</definedName>
    <definedName name="Tra_don_gia_KS">#REF!</definedName>
    <definedName name="Tra_DTCT" localSheetId="252">#REF!</definedName>
    <definedName name="Tra_DTCT">#REF!</definedName>
    <definedName name="Tra_tim_hang_mucPT_trung" localSheetId="252">#REF!</definedName>
    <definedName name="Tra_tim_hang_mucPT_trung">#REF!</definedName>
    <definedName name="Tra_TL" localSheetId="252">#REF!</definedName>
    <definedName name="Tra_TL">#REF!</definedName>
    <definedName name="Tra_ty_le2" localSheetId="252">#REF!</definedName>
    <definedName name="Tra_ty_le2">#REF!</definedName>
    <definedName name="Tra_ty_le3" localSheetId="252">#REF!</definedName>
    <definedName name="Tra_ty_le3">#REF!</definedName>
    <definedName name="Tra_ty_le4" localSheetId="252">#REF!</definedName>
    <definedName name="Tra_ty_le4">#REF!</definedName>
    <definedName name="Tra_ty_le5" localSheetId="252">#REF!</definedName>
    <definedName name="Tra_ty_le5">#REF!</definedName>
    <definedName name="Tracp" localSheetId="252">#REF!</definedName>
    <definedName name="Tracp">#REF!</definedName>
    <definedName name="TRADE2" localSheetId="252">#REF!</definedName>
    <definedName name="TRADE2">#REF!</definedName>
    <definedName name="u" localSheetId="252">#REF!</definedName>
    <definedName name="u">#REF!</definedName>
    <definedName name="USD">15820</definedName>
    <definedName name="VARIINST" localSheetId="252">#REF!</definedName>
    <definedName name="VARIINST">#REF!</definedName>
    <definedName name="VARIPURC" localSheetId="252">#REF!</definedName>
    <definedName name="VARIPURC">#REF!</definedName>
    <definedName name="VAT" localSheetId="252">#REF!</definedName>
    <definedName name="VAT">#REF!</definedName>
    <definedName name="vccot" localSheetId="252">#REF!</definedName>
    <definedName name="vccot">#REF!</definedName>
    <definedName name="vctb" localSheetId="252">#REF!</definedName>
    <definedName name="vctb">#REF!</definedName>
    <definedName name="Vf" localSheetId="252">#REF!</definedName>
    <definedName name="Vf">#REF!</definedName>
    <definedName name="Vlcap0.7" localSheetId="252">#REF!</definedName>
    <definedName name="Vlcap0.7">#REF!</definedName>
    <definedName name="VLcap1" localSheetId="252">#REF!</definedName>
    <definedName name="VLcap1">#REF!</definedName>
    <definedName name="VLM" localSheetId="252">#REF!</definedName>
    <definedName name="VLM">#REF!</definedName>
    <definedName name="Vnc" localSheetId="252">#REF!</definedName>
    <definedName name="Vnc">#REF!</definedName>
    <definedName name="Vu" localSheetId="252">#REF!</definedName>
    <definedName name="Vu">#REF!</definedName>
    <definedName name="Vu_" localSheetId="252">#REF!</definedName>
    <definedName name="Vu_">#REF!</definedName>
    <definedName name="Vvl" localSheetId="252">#REF!</definedName>
    <definedName name="Vvl">#REF!</definedName>
    <definedName name="Vxm" localSheetId="252">#REF!</definedName>
    <definedName name="Vxm">#REF!</definedName>
    <definedName name="W" localSheetId="252">#REF!</definedName>
    <definedName name="W">#REF!</definedName>
    <definedName name="wl" localSheetId="252">#REF!</definedName>
    <definedName name="wl">#REF!</definedName>
    <definedName name="wrn.chi._.tiÆt." localSheetId="252" hidden="1">{#N/A,#N/A,FALSE,"Chi tiÆt"}</definedName>
    <definedName name="wrn.chi._.tiÆt." localSheetId="46" hidden="1">{#N/A,#N/A,FALSE,"Chi tiÆt"}</definedName>
    <definedName name="wrn.chi._.tiÆt." localSheetId="251" hidden="1">{#N/A,#N/A,FALSE,"Chi tiÆt"}</definedName>
    <definedName name="wrn.chi._.tiÆt." hidden="1">{#N/A,#N/A,FALSE,"Chi tiÆt"}</definedName>
    <definedName name="wrn.Report." localSheetId="252" hidden="1">{"Offgrid",#N/A,FALSE,"OFFGRID";"Region",#N/A,FALSE,"REGION";"Offgrid -2",#N/A,FALSE,"OFFGRID";"WTP",#N/A,FALSE,"WTP";"WTP -2",#N/A,FALSE,"WTP";"Project",#N/A,FALSE,"PROJECT";"Summary -2",#N/A,FALSE,"SUMMARY"}</definedName>
    <definedName name="wrn.Report." localSheetId="46" hidden="1">{"Offgrid",#N/A,FALSE,"OFFGRID";"Region",#N/A,FALSE,"REGION";"Offgrid -2",#N/A,FALSE,"OFFGRID";"WTP",#N/A,FALSE,"WTP";"WTP -2",#N/A,FALSE,"WTP";"Project",#N/A,FALSE,"PROJECT";"Summary -2",#N/A,FALSE,"SUMMARY"}</definedName>
    <definedName name="wrn.Report." localSheetId="251"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f.report" localSheetId="252" hidden="1">{"Offgrid",#N/A,FALSE,"OFFGRID";"Region",#N/A,FALSE,"REGION";"Offgrid -2",#N/A,FALSE,"OFFGRID";"WTP",#N/A,FALSE,"WTP";"WTP -2",#N/A,FALSE,"WTP";"Project",#N/A,FALSE,"PROJECT";"Summary -2",#N/A,FALSE,"SUMMARY"}</definedName>
    <definedName name="wrnf.report" localSheetId="46" hidden="1">{"Offgrid",#N/A,FALSE,"OFFGRID";"Region",#N/A,FALSE,"REGION";"Offgrid -2",#N/A,FALSE,"OFFGRID";"WTP",#N/A,FALSE,"WTP";"WTP -2",#N/A,FALSE,"WTP";"Project",#N/A,FALSE,"PROJECT";"Summary -2",#N/A,FALSE,"SUMMARY"}</definedName>
    <definedName name="wrnf.report" localSheetId="251"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Ws" localSheetId="252">#REF!</definedName>
    <definedName name="Ws">#REF!</definedName>
    <definedName name="Wss" localSheetId="252">#REF!</definedName>
    <definedName name="Wss">#REF!</definedName>
    <definedName name="Wst" localSheetId="252">#REF!</definedName>
    <definedName name="Wst">#REF!</definedName>
    <definedName name="wt" localSheetId="252">#REF!</definedName>
    <definedName name="wt">#REF!</definedName>
    <definedName name="x" localSheetId="252">#REF!</definedName>
    <definedName name="x" localSheetId="251">#REF!</definedName>
    <definedName name="x">#REF!</definedName>
    <definedName name="x1_" localSheetId="252">#REF!</definedName>
    <definedName name="x1_">#REF!</definedName>
    <definedName name="x2_" localSheetId="252">#REF!</definedName>
    <definedName name="x2_">#REF!</definedName>
    <definedName name="XADZ04" localSheetId="252">#REF!</definedName>
    <definedName name="XADZ04" localSheetId="251">#REF!</definedName>
    <definedName name="XADZ04">#REF!</definedName>
    <definedName name="XCCDZ22" localSheetId="252">#REF!</definedName>
    <definedName name="XCCDZ22" localSheetId="251">#REF!</definedName>
    <definedName name="XCCDZ22">#REF!</definedName>
    <definedName name="XDAUTRAMDZ22" localSheetId="252">#REF!</definedName>
    <definedName name="XDAUTRAMDZ22" localSheetId="251">#REF!</definedName>
    <definedName name="XDAUTRAMDZ22">#REF!</definedName>
    <definedName name="XDDZ22" localSheetId="252">#REF!</definedName>
    <definedName name="XDDZ22" localSheetId="251">#REF!</definedName>
    <definedName name="XDDZ22">#REF!</definedName>
    <definedName name="XDGHDZ22" localSheetId="252">#REF!</definedName>
    <definedName name="XDGHDZ22" localSheetId="251">#REF!</definedName>
    <definedName name="XDGHDZ22">#REF!</definedName>
    <definedName name="XDHDZ22" localSheetId="252">#REF!</definedName>
    <definedName name="XDHDZ22" localSheetId="251">#REF!</definedName>
    <definedName name="XDHDZ22">#REF!</definedName>
    <definedName name="XDTDZ22" localSheetId="252">#REF!</definedName>
    <definedName name="XDTDZ22" localSheetId="251">#REF!</definedName>
    <definedName name="XDTDZ22">#REF!</definedName>
    <definedName name="XDTT" localSheetId="252">#REF!</definedName>
    <definedName name="XDTT">#REF!</definedName>
    <definedName name="Xe_lao_dÇm" localSheetId="252">#REF!</definedName>
    <definedName name="Xe_lao_dÇm">#REF!</definedName>
    <definedName name="XFTDZ22" localSheetId="252">#REF!</definedName>
    <definedName name="XFTDZ22" localSheetId="251">#REF!</definedName>
    <definedName name="XFTDZ22">#REF!</definedName>
    <definedName name="xh" localSheetId="252">#REF!</definedName>
    <definedName name="xh">#REF!</definedName>
    <definedName name="Xkoto" localSheetId="252">#REF!</definedName>
    <definedName name="Xkoto">#REF!</definedName>
    <definedName name="Xkxn" localSheetId="252">#REF!</definedName>
    <definedName name="Xkxn">#REF!</definedName>
    <definedName name="xl" localSheetId="46">[1]TongDT!$H$6</definedName>
    <definedName name="xl">TongDT!$J$6</definedName>
    <definedName name="xlc" localSheetId="252">#REF!</definedName>
    <definedName name="xlc" localSheetId="46">#REF!</definedName>
    <definedName name="xlc" localSheetId="251">#REF!</definedName>
    <definedName name="xlc">#REF!</definedName>
    <definedName name="xlk" localSheetId="252">#REF!</definedName>
    <definedName name="xlk" localSheetId="251">#REF!</definedName>
    <definedName name="xlk">#REF!</definedName>
    <definedName name="xn" localSheetId="252">#REF!</definedName>
    <definedName name="xn">#REF!</definedName>
    <definedName name="XNDZ22" localSheetId="252">#REF!</definedName>
    <definedName name="XNDZ22" localSheetId="251">#REF!</definedName>
    <definedName name="XNDZ22">#REF!</definedName>
    <definedName name="XNTDZ22" localSheetId="252">#REF!</definedName>
    <definedName name="XNTDZ22" localSheetId="251">#REF!</definedName>
    <definedName name="XNTDZ22">#REF!</definedName>
    <definedName name="XNHDZ22" localSheetId="252">#REF!</definedName>
    <definedName name="XNHDZ22" localSheetId="251">#REF!</definedName>
    <definedName name="XNHDZ22">#REF!</definedName>
    <definedName name="XPSDZ22" localSheetId="252">#REF!</definedName>
    <definedName name="XPSDZ22" localSheetId="251">#REF!</definedName>
    <definedName name="XPSDZ22">#REF!</definedName>
    <definedName name="y" localSheetId="252">#REF!</definedName>
    <definedName name="y">#REF!</definedName>
    <definedName name="z" localSheetId="252">#REF!</definedName>
    <definedName name="z">#REF!</definedName>
    <definedName name="zl" localSheetId="252">#REF!</definedName>
    <definedName name="zl">#REF!</definedName>
    <definedName name="Zw" localSheetId="252">#REF!</definedName>
    <definedName name="Zw">#REF!</definedName>
    <definedName name="ZYX" localSheetId="252">#REF!</definedName>
    <definedName name="ZYX">#REF!</definedName>
    <definedName name="ZZZ" localSheetId="252">#REF!</definedName>
    <definedName name="ZZZ">#REF!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81" i="313" l="1"/>
  <c r="H481" i="313"/>
  <c r="C481" i="313"/>
  <c r="E481" i="313"/>
  <c r="F481" i="313"/>
  <c r="J497" i="313" l="1"/>
  <c r="H497" i="313"/>
  <c r="E497" i="313"/>
  <c r="C497" i="313"/>
  <c r="J371" i="313"/>
  <c r="H371" i="313"/>
  <c r="E371" i="313"/>
  <c r="C371" i="313"/>
  <c r="J328" i="313"/>
  <c r="H328" i="313"/>
  <c r="E328" i="313"/>
  <c r="C328" i="313"/>
  <c r="J309" i="313"/>
  <c r="H309" i="313"/>
  <c r="E309" i="313"/>
  <c r="C309" i="313"/>
  <c r="J294" i="313"/>
  <c r="H294" i="313"/>
  <c r="E294" i="313"/>
  <c r="C294" i="313"/>
  <c r="E290" i="313"/>
  <c r="C290" i="313"/>
  <c r="E288" i="313"/>
  <c r="C288" i="313"/>
  <c r="E286" i="313"/>
  <c r="C286" i="313"/>
  <c r="E273" i="313"/>
  <c r="C273" i="313"/>
  <c r="E234" i="313"/>
  <c r="C234" i="313"/>
  <c r="I233" i="313"/>
  <c r="I232" i="313"/>
  <c r="I231" i="313"/>
  <c r="I230" i="313"/>
  <c r="I229" i="313"/>
  <c r="I228" i="313"/>
  <c r="I227" i="313"/>
  <c r="I226" i="313"/>
  <c r="I225" i="313"/>
  <c r="E224" i="313"/>
  <c r="C224" i="313"/>
  <c r="E214" i="313"/>
  <c r="C214" i="313"/>
  <c r="E194" i="313"/>
  <c r="C194" i="313"/>
  <c r="E167" i="313"/>
  <c r="C167" i="313"/>
  <c r="E157" i="313"/>
  <c r="C157" i="313"/>
  <c r="E154" i="313"/>
  <c r="C154" i="313"/>
  <c r="E143" i="313"/>
  <c r="C143" i="313"/>
  <c r="E78" i="313"/>
  <c r="C78" i="313"/>
  <c r="E65" i="313"/>
  <c r="C65" i="313"/>
  <c r="E41" i="313"/>
  <c r="C41" i="313"/>
  <c r="E21" i="313"/>
  <c r="C21" i="313"/>
  <c r="E7" i="313"/>
  <c r="C7" i="313"/>
  <c r="J293" i="313" l="1"/>
  <c r="C293" i="313"/>
  <c r="E293" i="313"/>
  <c r="H293" i="313"/>
  <c r="E133" i="310" l="1"/>
  <c r="C133" i="310"/>
  <c r="E132" i="310"/>
  <c r="C132" i="310"/>
  <c r="B132" i="310"/>
  <c r="E131" i="310"/>
  <c r="C131" i="310"/>
  <c r="B131" i="310"/>
  <c r="E130" i="310"/>
  <c r="C130" i="310"/>
  <c r="B130" i="310"/>
  <c r="E129" i="310"/>
  <c r="C129" i="310"/>
  <c r="B129" i="310"/>
  <c r="E128" i="310"/>
  <c r="C128" i="310"/>
  <c r="B128" i="310"/>
  <c r="E127" i="310"/>
  <c r="C127" i="310"/>
  <c r="B127" i="310"/>
  <c r="E126" i="310"/>
  <c r="C126" i="310"/>
  <c r="B126" i="310"/>
  <c r="E125" i="310"/>
  <c r="C125" i="310"/>
  <c r="B125" i="310"/>
  <c r="E124" i="310"/>
  <c r="C124" i="310"/>
  <c r="B124" i="310"/>
  <c r="E123" i="310"/>
  <c r="C123" i="310"/>
  <c r="B123" i="310"/>
  <c r="E122" i="310"/>
  <c r="C122" i="310"/>
  <c r="B122" i="310"/>
  <c r="E121" i="310"/>
  <c r="C121" i="310"/>
  <c r="B121" i="310"/>
  <c r="E120" i="310"/>
  <c r="C120" i="310"/>
  <c r="B120" i="310"/>
  <c r="C119" i="310"/>
  <c r="E118" i="310"/>
  <c r="C118" i="310"/>
  <c r="B118" i="310"/>
  <c r="E117" i="310"/>
  <c r="C117" i="310"/>
  <c r="B117" i="310"/>
  <c r="E116" i="310"/>
  <c r="C116" i="310"/>
  <c r="B116" i="310"/>
  <c r="E115" i="310"/>
  <c r="C115" i="310"/>
  <c r="B115" i="310"/>
  <c r="E114" i="310"/>
  <c r="C114" i="310"/>
  <c r="B114" i="310"/>
  <c r="E113" i="310"/>
  <c r="C113" i="310"/>
  <c r="B113" i="310"/>
  <c r="C112" i="310"/>
  <c r="E111" i="310"/>
  <c r="C111" i="310"/>
  <c r="B111" i="310"/>
  <c r="E110" i="310"/>
  <c r="C110" i="310"/>
  <c r="B110" i="310"/>
  <c r="E109" i="310"/>
  <c r="C109" i="310"/>
  <c r="B109" i="310"/>
  <c r="E108" i="310"/>
  <c r="C108" i="310"/>
  <c r="B108" i="310"/>
  <c r="E107" i="310"/>
  <c r="C107" i="310"/>
  <c r="B107" i="310"/>
  <c r="E106" i="310"/>
  <c r="C106" i="310"/>
  <c r="B106" i="310"/>
  <c r="E105" i="310"/>
  <c r="C105" i="310"/>
  <c r="B105" i="310"/>
  <c r="E104" i="310"/>
  <c r="C104" i="310"/>
  <c r="B104" i="310"/>
  <c r="E103" i="310"/>
  <c r="C103" i="310"/>
  <c r="B103" i="310"/>
  <c r="E102" i="310"/>
  <c r="C102" i="310"/>
  <c r="B102" i="310"/>
  <c r="E101" i="310"/>
  <c r="C101" i="310"/>
  <c r="B101" i="310"/>
  <c r="E100" i="310"/>
  <c r="C100" i="310"/>
  <c r="B100" i="310"/>
  <c r="E99" i="310"/>
  <c r="C99" i="310"/>
  <c r="B99" i="310"/>
  <c r="E98" i="310"/>
  <c r="C98" i="310"/>
  <c r="B98" i="310"/>
  <c r="E97" i="310"/>
  <c r="C97" i="310"/>
  <c r="B97" i="310"/>
  <c r="E96" i="310"/>
  <c r="C96" i="310"/>
  <c r="B96" i="310"/>
  <c r="C95" i="310"/>
  <c r="E94" i="310"/>
  <c r="C94" i="310"/>
  <c r="B94" i="310"/>
  <c r="E93" i="310"/>
  <c r="C93" i="310"/>
  <c r="B93" i="310"/>
  <c r="E92" i="310"/>
  <c r="C92" i="310"/>
  <c r="B92" i="310"/>
  <c r="C91" i="310"/>
  <c r="E90" i="310"/>
  <c r="C90" i="310"/>
  <c r="B90" i="310"/>
  <c r="A90" i="310"/>
  <c r="A93" i="310" s="1"/>
  <c r="E89" i="310"/>
  <c r="C89" i="310"/>
  <c r="B89" i="310"/>
  <c r="E88" i="310"/>
  <c r="C88" i="310"/>
  <c r="B88" i="310"/>
  <c r="E87" i="310"/>
  <c r="C87" i="310"/>
  <c r="B87" i="310"/>
  <c r="C86" i="310"/>
  <c r="C85" i="310"/>
  <c r="B85" i="310"/>
  <c r="E84" i="310"/>
  <c r="C84" i="310"/>
  <c r="B84" i="310"/>
  <c r="E83" i="310"/>
  <c r="C83" i="310"/>
  <c r="B83" i="310"/>
  <c r="E82" i="310"/>
  <c r="C82" i="310"/>
  <c r="B82" i="310"/>
  <c r="E81" i="310"/>
  <c r="C81" i="310"/>
  <c r="B81" i="310"/>
  <c r="E80" i="310"/>
  <c r="C80" i="310"/>
  <c r="B80" i="310"/>
  <c r="E79" i="310"/>
  <c r="C79" i="310"/>
  <c r="B79" i="310"/>
  <c r="E78" i="310"/>
  <c r="C78" i="310"/>
  <c r="B78" i="310"/>
  <c r="E77" i="310"/>
  <c r="C77" i="310"/>
  <c r="B77" i="310"/>
  <c r="E76" i="310"/>
  <c r="C76" i="310"/>
  <c r="B76" i="310"/>
  <c r="E75" i="310"/>
  <c r="C75" i="310"/>
  <c r="B75" i="310"/>
  <c r="E74" i="310"/>
  <c r="C74" i="310"/>
  <c r="B74" i="310"/>
  <c r="E73" i="310"/>
  <c r="C73" i="310"/>
  <c r="B73" i="310"/>
  <c r="C72" i="310"/>
  <c r="E70" i="310"/>
  <c r="C70" i="310"/>
  <c r="B70" i="310"/>
  <c r="E69" i="310"/>
  <c r="C69" i="310"/>
  <c r="B69" i="310"/>
  <c r="E68" i="310"/>
  <c r="C68" i="310"/>
  <c r="B68" i="310"/>
  <c r="E67" i="310"/>
  <c r="C67" i="310"/>
  <c r="B67" i="310"/>
  <c r="E66" i="310"/>
  <c r="C66" i="310"/>
  <c r="B66" i="310"/>
  <c r="E65" i="310"/>
  <c r="C65" i="310"/>
  <c r="B65" i="310"/>
  <c r="E64" i="310"/>
  <c r="C64" i="310"/>
  <c r="B64" i="310"/>
  <c r="E63" i="310"/>
  <c r="C63" i="310"/>
  <c r="B63" i="310"/>
  <c r="E62" i="310"/>
  <c r="C62" i="310"/>
  <c r="B62" i="310"/>
  <c r="E61" i="310"/>
  <c r="C61" i="310"/>
  <c r="B61" i="310"/>
  <c r="C60" i="310"/>
  <c r="C59" i="310"/>
  <c r="C58" i="310"/>
  <c r="E57" i="310"/>
  <c r="C57" i="310"/>
  <c r="B57" i="310"/>
  <c r="E56" i="310"/>
  <c r="C56" i="310"/>
  <c r="B56" i="310"/>
  <c r="E55" i="310"/>
  <c r="C55" i="310"/>
  <c r="B55" i="310"/>
  <c r="E54" i="310"/>
  <c r="C54" i="310"/>
  <c r="B54" i="310"/>
  <c r="E53" i="310"/>
  <c r="C53" i="310"/>
  <c r="B53" i="310"/>
  <c r="E52" i="310"/>
  <c r="C52" i="310"/>
  <c r="B52" i="310"/>
  <c r="E51" i="310"/>
  <c r="C51" i="310"/>
  <c r="B51" i="310"/>
  <c r="E50" i="310"/>
  <c r="C50" i="310"/>
  <c r="B50" i="310"/>
  <c r="E49" i="310"/>
  <c r="C49" i="310"/>
  <c r="B49" i="310"/>
  <c r="C48" i="310"/>
  <c r="C47" i="310"/>
  <c r="E46" i="310"/>
  <c r="C46" i="310"/>
  <c r="B46" i="310"/>
  <c r="E45" i="310"/>
  <c r="C45" i="310"/>
  <c r="B45" i="310"/>
  <c r="E44" i="310"/>
  <c r="C44" i="310"/>
  <c r="B44" i="310"/>
  <c r="E43" i="310"/>
  <c r="C43" i="310"/>
  <c r="B43" i="310"/>
  <c r="E42" i="310"/>
  <c r="C42" i="310"/>
  <c r="B42" i="310"/>
  <c r="E41" i="310"/>
  <c r="C41" i="310"/>
  <c r="B41" i="310"/>
  <c r="E40" i="310"/>
  <c r="C40" i="310"/>
  <c r="B40" i="310"/>
  <c r="E39" i="310"/>
  <c r="C39" i="310"/>
  <c r="B39" i="310"/>
  <c r="E38" i="310"/>
  <c r="C38" i="310"/>
  <c r="B38" i="310"/>
  <c r="E37" i="310"/>
  <c r="C37" i="310"/>
  <c r="B37" i="310"/>
  <c r="E36" i="310"/>
  <c r="C36" i="310"/>
  <c r="B36" i="310"/>
  <c r="C35" i="310"/>
  <c r="E34" i="310"/>
  <c r="C34" i="310"/>
  <c r="B34" i="310"/>
  <c r="E33" i="310"/>
  <c r="C33" i="310"/>
  <c r="B33" i="310"/>
  <c r="E32" i="310"/>
  <c r="C32" i="310"/>
  <c r="B32" i="310"/>
  <c r="E31" i="310"/>
  <c r="C31" i="310"/>
  <c r="B31" i="310"/>
  <c r="E30" i="310"/>
  <c r="C30" i="310"/>
  <c r="B30" i="310"/>
  <c r="E29" i="310"/>
  <c r="C29" i="310"/>
  <c r="B29" i="310"/>
  <c r="E28" i="310"/>
  <c r="C28" i="310"/>
  <c r="B28" i="310"/>
  <c r="E27" i="310"/>
  <c r="C27" i="310"/>
  <c r="B27" i="310"/>
  <c r="E26" i="310"/>
  <c r="C26" i="310"/>
  <c r="B26" i="310"/>
  <c r="E25" i="310"/>
  <c r="C25" i="310"/>
  <c r="B25" i="310"/>
  <c r="C24" i="310"/>
  <c r="E23" i="310"/>
  <c r="C23" i="310"/>
  <c r="B23" i="310"/>
  <c r="E22" i="310"/>
  <c r="C22" i="310"/>
  <c r="B22" i="310"/>
  <c r="E21" i="310"/>
  <c r="C21" i="310"/>
  <c r="B21" i="310"/>
  <c r="E20" i="310"/>
  <c r="C20" i="310"/>
  <c r="B20" i="310"/>
  <c r="E19" i="310"/>
  <c r="C19" i="310"/>
  <c r="B19" i="310"/>
  <c r="E18" i="310"/>
  <c r="C18" i="310"/>
  <c r="B18" i="310"/>
  <c r="E17" i="310"/>
  <c r="C17" i="310"/>
  <c r="B17" i="310"/>
  <c r="E16" i="310"/>
  <c r="C16" i="310"/>
  <c r="B16" i="310"/>
  <c r="E15" i="310"/>
  <c r="C15" i="310"/>
  <c r="B15" i="310"/>
  <c r="A15" i="310"/>
  <c r="A16" i="310" s="1"/>
  <c r="C14" i="310"/>
  <c r="E13" i="310"/>
  <c r="C13" i="310"/>
  <c r="B13" i="310"/>
  <c r="E12" i="310"/>
  <c r="C12" i="310"/>
  <c r="B12" i="310"/>
  <c r="E11" i="310"/>
  <c r="C11" i="310"/>
  <c r="B11" i="310"/>
  <c r="E10" i="310"/>
  <c r="C10" i="310"/>
  <c r="B10" i="310"/>
  <c r="E9" i="310"/>
  <c r="C9" i="310"/>
  <c r="B9" i="310"/>
  <c r="E8" i="310"/>
  <c r="C8" i="310"/>
  <c r="B8" i="310"/>
  <c r="E7" i="310"/>
  <c r="C7" i="310"/>
  <c r="B7" i="310"/>
  <c r="A7" i="310"/>
  <c r="E6" i="310"/>
  <c r="C6" i="310"/>
  <c r="B6" i="310"/>
  <c r="C5" i="310"/>
  <c r="C4" i="310"/>
  <c r="C3" i="310"/>
  <c r="B3" i="310"/>
  <c r="E119" i="310" l="1"/>
  <c r="E48" i="310"/>
  <c r="E72" i="310"/>
  <c r="E91" i="310"/>
  <c r="E112" i="310"/>
  <c r="E24" i="310"/>
  <c r="E86" i="310"/>
  <c r="E95" i="310"/>
  <c r="E60" i="310"/>
  <c r="E14" i="310"/>
  <c r="E5" i="310"/>
  <c r="E35" i="310"/>
  <c r="A8" i="310"/>
  <c r="A9" i="310" s="1"/>
  <c r="A10" i="310" s="1"/>
  <c r="A11" i="310" s="1"/>
  <c r="A12" i="310" s="1"/>
  <c r="A13" i="310" s="1"/>
  <c r="A92" i="310"/>
  <c r="A94" i="310" s="1"/>
  <c r="A96" i="310" s="1"/>
  <c r="A17" i="310"/>
  <c r="E4" i="310" l="1"/>
  <c r="A18" i="310"/>
  <c r="A97" i="310"/>
  <c r="A100" i="310" s="1"/>
  <c r="A103" i="310" s="1"/>
  <c r="A106" i="310" s="1"/>
  <c r="A109" i="310" s="1"/>
  <c r="A111" i="310" s="1"/>
  <c r="A114" i="310" s="1"/>
  <c r="A117" i="310" s="1"/>
  <c r="A120" i="310" s="1"/>
  <c r="A98" i="310"/>
  <c r="A101" i="310" s="1"/>
  <c r="A104" i="310" s="1"/>
  <c r="A107" i="310" s="1"/>
  <c r="A99" i="310"/>
  <c r="A102" i="310" s="1"/>
  <c r="A105" i="310" s="1"/>
  <c r="A108" i="310" s="1"/>
  <c r="A110" i="310" s="1"/>
  <c r="A113" i="310" s="1"/>
  <c r="A115" i="310" l="1"/>
  <c r="A118" i="310" s="1"/>
  <c r="A121" i="310" s="1"/>
  <c r="A124" i="310" s="1"/>
  <c r="A127" i="310" s="1"/>
  <c r="A130" i="310" s="1"/>
  <c r="A116" i="310"/>
  <c r="A19" i="310"/>
  <c r="A20" i="310" s="1"/>
  <c r="A122" i="310"/>
  <c r="A125" i="310" s="1"/>
  <c r="A128" i="310" s="1"/>
  <c r="A131" i="310" s="1"/>
  <c r="A123" i="310"/>
  <c r="A126" i="310" s="1"/>
  <c r="A129" i="310" s="1"/>
  <c r="A132" i="310" s="1"/>
  <c r="A21" i="310" l="1"/>
  <c r="A22" i="310"/>
  <c r="A23" i="310" l="1"/>
  <c r="A25" i="310"/>
  <c r="A26" i="310" l="1"/>
  <c r="A27" i="310" s="1"/>
  <c r="F40" i="310"/>
  <c r="J40" i="310" s="1"/>
  <c r="D40" i="310"/>
  <c r="A28" i="310" l="1"/>
  <c r="A29" i="310"/>
  <c r="D56" i="310"/>
  <c r="F56" i="310"/>
  <c r="J56" i="310" s="1"/>
  <c r="A30" i="310" l="1"/>
  <c r="A31" i="310"/>
  <c r="A32" i="310" l="1"/>
  <c r="A33" i="310"/>
  <c r="A34" i="310" s="1"/>
  <c r="A36" i="310" s="1"/>
  <c r="A37" i="310" l="1"/>
  <c r="A38" i="310" l="1"/>
  <c r="A39" i="310" s="1"/>
  <c r="A40" i="310" l="1"/>
  <c r="A41" i="310" l="1"/>
  <c r="A42" i="310"/>
  <c r="A43" i="310" l="1"/>
  <c r="A44" i="310" l="1"/>
  <c r="A45" i="310" s="1"/>
  <c r="A46" i="310" l="1"/>
  <c r="A49" i="310"/>
  <c r="A50" i="310" s="1"/>
  <c r="A51" i="310" l="1"/>
  <c r="A52" i="310"/>
  <c r="A53" i="310" l="1"/>
  <c r="A54" i="310" l="1"/>
  <c r="A55" i="310" l="1"/>
  <c r="A56" i="310" s="1"/>
  <c r="D31" i="310"/>
  <c r="F31" i="310"/>
  <c r="J31" i="310" s="1"/>
  <c r="A57" i="310" l="1"/>
  <c r="A61" i="310" s="1"/>
  <c r="A62" i="310" l="1"/>
  <c r="A63" i="310" s="1"/>
  <c r="A64" i="310" l="1"/>
  <c r="A65" i="310" s="1"/>
  <c r="F129" i="310"/>
  <c r="J129" i="310" s="1"/>
  <c r="D129" i="310"/>
  <c r="F132" i="310"/>
  <c r="J132" i="310" s="1"/>
  <c r="D132" i="310"/>
  <c r="F131" i="310"/>
  <c r="J131" i="310" s="1"/>
  <c r="D131" i="310"/>
  <c r="F130" i="310"/>
  <c r="J130" i="310" s="1"/>
  <c r="D130" i="310"/>
  <c r="F128" i="310"/>
  <c r="J128" i="310" s="1"/>
  <c r="D128" i="310"/>
  <c r="F127" i="310"/>
  <c r="J127" i="310" s="1"/>
  <c r="D127" i="310"/>
  <c r="F126" i="310"/>
  <c r="J126" i="310" s="1"/>
  <c r="D126" i="310"/>
  <c r="F125" i="310"/>
  <c r="J125" i="310" s="1"/>
  <c r="D125" i="310"/>
  <c r="F124" i="310"/>
  <c r="J124" i="310" s="1"/>
  <c r="D124" i="310"/>
  <c r="F123" i="310"/>
  <c r="J123" i="310" s="1"/>
  <c r="D123" i="310"/>
  <c r="F121" i="310"/>
  <c r="J121" i="310" s="1"/>
  <c r="D121" i="310"/>
  <c r="F118" i="310"/>
  <c r="J118" i="310" s="1"/>
  <c r="D118" i="310"/>
  <c r="F117" i="310"/>
  <c r="J117" i="310" s="1"/>
  <c r="D117" i="310"/>
  <c r="F116" i="310"/>
  <c r="J116" i="310" s="1"/>
  <c r="D116" i="310"/>
  <c r="F115" i="310"/>
  <c r="J115" i="310" s="1"/>
  <c r="D115" i="310"/>
  <c r="F114" i="310"/>
  <c r="J114" i="310" s="1"/>
  <c r="D114" i="310"/>
  <c r="F113" i="310"/>
  <c r="D113" i="310"/>
  <c r="J113" i="310" l="1"/>
  <c r="F112" i="310"/>
  <c r="J112" i="310" s="1"/>
  <c r="D133" i="310"/>
  <c r="F133" i="310"/>
  <c r="D112" i="310"/>
  <c r="A66" i="310"/>
  <c r="F111" i="310"/>
  <c r="J111" i="310" s="1"/>
  <c r="D111" i="310"/>
  <c r="F109" i="310"/>
  <c r="J109" i="310" s="1"/>
  <c r="D109" i="310"/>
  <c r="F108" i="310"/>
  <c r="J108" i="310" s="1"/>
  <c r="D108" i="310"/>
  <c r="F106" i="310"/>
  <c r="J106" i="310" s="1"/>
  <c r="D106" i="310"/>
  <c r="F105" i="310"/>
  <c r="J105" i="310" s="1"/>
  <c r="D105" i="310"/>
  <c r="F104" i="310"/>
  <c r="J104" i="310" s="1"/>
  <c r="D104" i="310"/>
  <c r="F103" i="310"/>
  <c r="J103" i="310" s="1"/>
  <c r="D103" i="310"/>
  <c r="F101" i="310"/>
  <c r="J101" i="310" s="1"/>
  <c r="D101" i="310"/>
  <c r="F100" i="310"/>
  <c r="J100" i="310" s="1"/>
  <c r="D100" i="310"/>
  <c r="F99" i="310"/>
  <c r="J99" i="310" s="1"/>
  <c r="D99" i="310"/>
  <c r="F98" i="310"/>
  <c r="J98" i="310" s="1"/>
  <c r="D98" i="310"/>
  <c r="F97" i="310"/>
  <c r="J97" i="310" s="1"/>
  <c r="D97" i="310"/>
  <c r="A67" i="310" l="1"/>
  <c r="A68" i="310" s="1"/>
  <c r="F94" i="310"/>
  <c r="J94" i="310" s="1"/>
  <c r="D94" i="310"/>
  <c r="F92" i="310"/>
  <c r="D92" i="310"/>
  <c r="F90" i="310"/>
  <c r="J90" i="310" s="1"/>
  <c r="D90" i="310"/>
  <c r="F89" i="310"/>
  <c r="J89" i="310" s="1"/>
  <c r="D89" i="310"/>
  <c r="F87" i="310"/>
  <c r="D87" i="310"/>
  <c r="F80" i="310"/>
  <c r="J80" i="310" s="1"/>
  <c r="D80" i="310"/>
  <c r="F83" i="310"/>
  <c r="J83" i="310" s="1"/>
  <c r="D83" i="310"/>
  <c r="F82" i="310"/>
  <c r="J82" i="310" s="1"/>
  <c r="D82" i="310"/>
  <c r="F79" i="310"/>
  <c r="J79" i="310" s="1"/>
  <c r="D79" i="310"/>
  <c r="F78" i="310"/>
  <c r="J78" i="310" s="1"/>
  <c r="D78" i="310"/>
  <c r="D85" i="310" l="1"/>
  <c r="F85" i="310"/>
  <c r="J87" i="310"/>
  <c r="J92" i="310"/>
  <c r="A69" i="310"/>
  <c r="A70" i="310" s="1"/>
  <c r="A73" i="310" s="1"/>
  <c r="F76" i="310"/>
  <c r="J76" i="310" s="1"/>
  <c r="D76" i="310"/>
  <c r="A74" i="310" l="1"/>
  <c r="F70" i="310"/>
  <c r="J70" i="310" s="1"/>
  <c r="D70" i="310"/>
  <c r="F66" i="310"/>
  <c r="J66" i="310" s="1"/>
  <c r="D66" i="310"/>
  <c r="F64" i="310"/>
  <c r="J64" i="310" s="1"/>
  <c r="D64" i="310"/>
  <c r="F63" i="310"/>
  <c r="J63" i="310" s="1"/>
  <c r="D63" i="310"/>
  <c r="F61" i="310"/>
  <c r="D61" i="310"/>
  <c r="F62" i="310"/>
  <c r="J62" i="310" s="1"/>
  <c r="D62" i="310"/>
  <c r="D71" i="310" l="1"/>
  <c r="J61" i="310"/>
  <c r="F71" i="310"/>
  <c r="A75" i="310"/>
  <c r="F55" i="310"/>
  <c r="J55" i="310" s="1"/>
  <c r="D55" i="310"/>
  <c r="F54" i="310"/>
  <c r="J54" i="310" s="1"/>
  <c r="D54" i="310"/>
  <c r="F53" i="310"/>
  <c r="J53" i="310" s="1"/>
  <c r="D53" i="310"/>
  <c r="F52" i="310"/>
  <c r="J52" i="310" s="1"/>
  <c r="D52" i="310"/>
  <c r="F51" i="310"/>
  <c r="J51" i="310" s="1"/>
  <c r="D51" i="310"/>
  <c r="F49" i="310"/>
  <c r="D49" i="310"/>
  <c r="F50" i="310"/>
  <c r="J50" i="310" s="1"/>
  <c r="D50" i="310"/>
  <c r="F46" i="310"/>
  <c r="J46" i="310" s="1"/>
  <c r="D46" i="310"/>
  <c r="F44" i="310"/>
  <c r="J44" i="310" s="1"/>
  <c r="D44" i="310"/>
  <c r="F43" i="310"/>
  <c r="J43" i="310" s="1"/>
  <c r="D43" i="310"/>
  <c r="F41" i="310"/>
  <c r="J41" i="310" s="1"/>
  <c r="D41" i="310"/>
  <c r="F39" i="310"/>
  <c r="J39" i="310" s="1"/>
  <c r="D39" i="310"/>
  <c r="F38" i="310"/>
  <c r="J38" i="310" s="1"/>
  <c r="D38" i="310"/>
  <c r="F37" i="310"/>
  <c r="J37" i="310" s="1"/>
  <c r="D37" i="310"/>
  <c r="F36" i="310"/>
  <c r="D36" i="310"/>
  <c r="F34" i="310"/>
  <c r="J34" i="310" s="1"/>
  <c r="D34" i="310"/>
  <c r="F33" i="310"/>
  <c r="J33" i="310" s="1"/>
  <c r="D33" i="310"/>
  <c r="F32" i="310"/>
  <c r="J32" i="310" s="1"/>
  <c r="D32" i="310"/>
  <c r="F30" i="310"/>
  <c r="J30" i="310" s="1"/>
  <c r="D30" i="310"/>
  <c r="F29" i="310"/>
  <c r="J29" i="310" s="1"/>
  <c r="D29" i="310"/>
  <c r="F28" i="310"/>
  <c r="J28" i="310" s="1"/>
  <c r="D28" i="310"/>
  <c r="F27" i="310"/>
  <c r="J27" i="310" s="1"/>
  <c r="D27" i="310"/>
  <c r="F26" i="310"/>
  <c r="J26" i="310" s="1"/>
  <c r="D26" i="310"/>
  <c r="F25" i="310"/>
  <c r="D25" i="310"/>
  <c r="J25" i="310" l="1"/>
  <c r="F24" i="310"/>
  <c r="J24" i="310" s="1"/>
  <c r="J49" i="310"/>
  <c r="D47" i="310"/>
  <c r="J36" i="310"/>
  <c r="F47" i="310"/>
  <c r="F58" i="310"/>
  <c r="F59" i="310"/>
  <c r="D24" i="310"/>
  <c r="D58" i="310"/>
  <c r="D59" i="310"/>
  <c r="A76" i="310"/>
  <c r="F23" i="310"/>
  <c r="J23" i="310" s="1"/>
  <c r="D23" i="310"/>
  <c r="F22" i="310"/>
  <c r="J22" i="310" s="1"/>
  <c r="D22" i="310"/>
  <c r="A77" i="310" l="1"/>
  <c r="A78" i="310" s="1"/>
  <c r="D7" i="310"/>
  <c r="F6" i="310"/>
  <c r="D6" i="310"/>
  <c r="F12" i="310"/>
  <c r="J12" i="310" s="1"/>
  <c r="D12" i="310"/>
  <c r="D13" i="310"/>
  <c r="F13" i="310"/>
  <c r="J13" i="310" s="1"/>
  <c r="D11" i="310"/>
  <c r="F11" i="310"/>
  <c r="J11" i="310" s="1"/>
  <c r="F7" i="310" l="1"/>
  <c r="J7" i="310" s="1"/>
  <c r="J6" i="310"/>
  <c r="A79" i="310"/>
  <c r="A80" i="310" s="1"/>
  <c r="A81" i="310" l="1"/>
  <c r="A82" i="310" l="1"/>
  <c r="A83" i="310" s="1"/>
  <c r="A84" i="310" l="1"/>
  <c r="A87" i="310" s="1"/>
  <c r="A88" i="310" l="1"/>
  <c r="A89" i="310" s="1"/>
  <c r="D93" i="310" l="1"/>
  <c r="D91" i="310" s="1"/>
  <c r="F93" i="310" l="1"/>
  <c r="J93" i="310" l="1"/>
  <c r="F91" i="310"/>
  <c r="J91" i="310" s="1"/>
  <c r="D73" i="310" l="1"/>
  <c r="D81" i="310" l="1"/>
  <c r="D77" i="310"/>
  <c r="D75" i="310"/>
  <c r="D74" i="310"/>
  <c r="D84" i="310"/>
  <c r="F73" i="310"/>
  <c r="D42" i="310"/>
  <c r="D72" i="310" l="1"/>
  <c r="D45" i="310"/>
  <c r="D35" i="310" s="1"/>
  <c r="F75" i="310"/>
  <c r="J75" i="310" s="1"/>
  <c r="F84" i="310"/>
  <c r="J84" i="310" s="1"/>
  <c r="D88" i="310"/>
  <c r="D86" i="310" s="1"/>
  <c r="F77" i="310"/>
  <c r="J77" i="310" s="1"/>
  <c r="F81" i="310"/>
  <c r="J81" i="310" s="1"/>
  <c r="J73" i="310"/>
  <c r="F74" i="310"/>
  <c r="J74" i="310" s="1"/>
  <c r="F42" i="310"/>
  <c r="F72" i="310" l="1"/>
  <c r="J72" i="310" s="1"/>
  <c r="J42" i="310"/>
  <c r="F88" i="310"/>
  <c r="F45" i="310"/>
  <c r="J45" i="310" s="1"/>
  <c r="D15" i="310"/>
  <c r="D20" i="310" l="1"/>
  <c r="J88" i="310"/>
  <c r="F86" i="310"/>
  <c r="J86" i="310" s="1"/>
  <c r="D16" i="310"/>
  <c r="D17" i="310"/>
  <c r="D21" i="310"/>
  <c r="D18" i="310"/>
  <c r="F35" i="310"/>
  <c r="J35" i="310" s="1"/>
  <c r="D19" i="310"/>
  <c r="F21" i="310"/>
  <c r="J21" i="310" s="1"/>
  <c r="F15" i="310"/>
  <c r="D14" i="310" l="1"/>
  <c r="F17" i="310"/>
  <c r="J17" i="310" s="1"/>
  <c r="D120" i="310"/>
  <c r="F18" i="310"/>
  <c r="J18" i="310" s="1"/>
  <c r="D102" i="310"/>
  <c r="D110" i="310"/>
  <c r="D96" i="310"/>
  <c r="J15" i="310"/>
  <c r="F20" i="310"/>
  <c r="J20" i="310" s="1"/>
  <c r="D107" i="310"/>
  <c r="D122" i="310"/>
  <c r="F16" i="310"/>
  <c r="J16" i="310" s="1"/>
  <c r="F19" i="310"/>
  <c r="J19" i="310" s="1"/>
  <c r="D95" i="310" l="1"/>
  <c r="D119" i="310"/>
  <c r="F96" i="310"/>
  <c r="F120" i="310"/>
  <c r="F122" i="310"/>
  <c r="J122" i="310" s="1"/>
  <c r="F14" i="310"/>
  <c r="J14" i="310" s="1"/>
  <c r="F107" i="310"/>
  <c r="J107" i="310" s="1"/>
  <c r="F102" i="310"/>
  <c r="J102" i="310" s="1"/>
  <c r="F110" i="310"/>
  <c r="J110" i="310" s="1"/>
  <c r="J96" i="310" l="1"/>
  <c r="F95" i="310"/>
  <c r="J95" i="310" s="1"/>
  <c r="F119" i="310"/>
  <c r="J119" i="310" s="1"/>
  <c r="J120" i="310"/>
  <c r="D8" i="310"/>
  <c r="D9" i="310" l="1"/>
  <c r="D10" i="310"/>
  <c r="F8" i="310"/>
  <c r="D65" i="310"/>
  <c r="D5" i="310" l="1"/>
  <c r="D67" i="310"/>
  <c r="F9" i="310"/>
  <c r="J9" i="310" s="1"/>
  <c r="F10" i="310"/>
  <c r="J10" i="310" s="1"/>
  <c r="D68" i="310"/>
  <c r="J8" i="310"/>
  <c r="D69" i="310"/>
  <c r="F65" i="310"/>
  <c r="F5" i="310" l="1"/>
  <c r="D60" i="310"/>
  <c r="J65" i="310"/>
  <c r="F68" i="310"/>
  <c r="J68" i="310" s="1"/>
  <c r="F69" i="310"/>
  <c r="J69" i="310" s="1"/>
  <c r="F67" i="310"/>
  <c r="J67" i="310" s="1"/>
  <c r="D57" i="310"/>
  <c r="D48" i="310" s="1"/>
  <c r="D4" i="310" l="1"/>
  <c r="F60" i="310"/>
  <c r="J60" i="310" s="1"/>
  <c r="F57" i="310"/>
  <c r="J57" i="310" l="1"/>
  <c r="F48" i="310"/>
  <c r="J48" i="310" l="1"/>
  <c r="F4" i="310"/>
  <c r="K345" i="148" l="1"/>
  <c r="E17" i="13" l="1"/>
  <c r="E11" i="13"/>
  <c r="G579" i="14"/>
  <c r="G580" i="14"/>
  <c r="G581" i="14"/>
  <c r="G582" i="14"/>
  <c r="E598" i="14"/>
  <c r="E597" i="14"/>
  <c r="E595" i="14"/>
  <c r="E594" i="14"/>
  <c r="E593" i="14"/>
  <c r="E590" i="14"/>
  <c r="F589" i="14"/>
  <c r="E589" i="14"/>
  <c r="F588" i="14"/>
  <c r="H588" i="14" s="1"/>
  <c r="E588" i="14"/>
  <c r="E586" i="14"/>
  <c r="E585" i="14"/>
  <c r="E583" i="14"/>
  <c r="E582" i="14"/>
  <c r="E581" i="14"/>
  <c r="E580" i="14"/>
  <c r="E579" i="14"/>
  <c r="F564" i="14"/>
  <c r="F563" i="14"/>
  <c r="H589" i="14" l="1"/>
  <c r="H590" i="14" s="1"/>
  <c r="H587" i="14" s="1"/>
  <c r="I265" i="148" l="1"/>
  <c r="J265" i="148" l="1"/>
  <c r="K674" i="148"/>
  <c r="J674" i="148"/>
  <c r="I730" i="148"/>
  <c r="J794" i="148" l="1"/>
  <c r="I794" i="148"/>
  <c r="I792" i="148"/>
  <c r="I791" i="148"/>
  <c r="I790" i="148"/>
  <c r="I789" i="148" l="1"/>
  <c r="I793" i="148"/>
  <c r="N838" i="148"/>
  <c r="O838" i="148" s="1"/>
  <c r="L838" i="148"/>
  <c r="J837" i="148"/>
  <c r="I837" i="148"/>
  <c r="J836" i="148"/>
  <c r="I836" i="148"/>
  <c r="I835" i="148"/>
  <c r="N833" i="148"/>
  <c r="O833" i="148" s="1"/>
  <c r="L833" i="148"/>
  <c r="K828" i="148"/>
  <c r="I824" i="148"/>
  <c r="K823" i="148"/>
  <c r="J823" i="148"/>
  <c r="I823" i="148"/>
  <c r="J822" i="148"/>
  <c r="I822" i="148"/>
  <c r="I820" i="148"/>
  <c r="I819" i="148"/>
  <c r="J818" i="148"/>
  <c r="I818" i="148"/>
  <c r="I817" i="148"/>
  <c r="K816" i="148"/>
  <c r="I815" i="148"/>
  <c r="K814" i="148"/>
  <c r="I812" i="148"/>
  <c r="I811" i="148"/>
  <c r="K807" i="148"/>
  <c r="K806" i="148"/>
  <c r="I806" i="148"/>
  <c r="I805" i="148"/>
  <c r="K801" i="148"/>
  <c r="J801" i="148"/>
  <c r="I800" i="148"/>
  <c r="I799" i="148"/>
  <c r="I798" i="148"/>
  <c r="K797" i="148"/>
  <c r="I797" i="148"/>
  <c r="I796" i="148"/>
  <c r="I795" i="148"/>
  <c r="N788" i="148"/>
  <c r="O788" i="148" s="1"/>
  <c r="L788" i="148"/>
  <c r="K787" i="148"/>
  <c r="J787" i="148"/>
  <c r="K786" i="148"/>
  <c r="I783" i="148"/>
  <c r="I779" i="148"/>
  <c r="N778" i="148"/>
  <c r="O778" i="148" s="1"/>
  <c r="L778" i="148"/>
  <c r="K777" i="148"/>
  <c r="K776" i="148"/>
  <c r="N770" i="148"/>
  <c r="O770" i="148" s="1"/>
  <c r="L770" i="148"/>
  <c r="K769" i="148"/>
  <c r="J769" i="148"/>
  <c r="K768" i="148"/>
  <c r="J768" i="148"/>
  <c r="K767" i="148"/>
  <c r="I767" i="148"/>
  <c r="K765" i="148"/>
  <c r="N761" i="148"/>
  <c r="O761" i="148" s="1"/>
  <c r="L761" i="148"/>
  <c r="N755" i="148"/>
  <c r="O755" i="148" s="1"/>
  <c r="L755" i="148"/>
  <c r="K752" i="148"/>
  <c r="K739" i="148"/>
  <c r="N736" i="148"/>
  <c r="O736" i="148" s="1"/>
  <c r="L736" i="148"/>
  <c r="N735" i="148"/>
  <c r="L931" i="148"/>
  <c r="L823" i="148" l="1"/>
  <c r="I802" i="148"/>
  <c r="I821" i="148"/>
  <c r="I803" i="148"/>
  <c r="K824" i="148"/>
  <c r="J821" i="148"/>
  <c r="J803" i="148" l="1"/>
  <c r="I922" i="148" l="1"/>
  <c r="I920" i="148"/>
  <c r="J920" i="148"/>
  <c r="I921" i="148"/>
  <c r="J921" i="148"/>
  <c r="K921" i="148"/>
  <c r="K922" i="148"/>
  <c r="K926" i="148"/>
  <c r="J901" i="148"/>
  <c r="L921" i="148" l="1"/>
  <c r="I901" i="148"/>
  <c r="I900" i="148"/>
  <c r="E9" i="151"/>
  <c r="I910" i="148" l="1"/>
  <c r="I909" i="148"/>
  <c r="J919" i="148" l="1"/>
  <c r="I894" i="148"/>
  <c r="I887" i="148"/>
  <c r="I883" i="148"/>
  <c r="I919" i="148" l="1"/>
  <c r="I724" i="148"/>
  <c r="I723" i="148"/>
  <c r="I722" i="148"/>
  <c r="I721" i="148"/>
  <c r="I720" i="148"/>
  <c r="I718" i="148"/>
  <c r="I715" i="148"/>
  <c r="K714" i="148"/>
  <c r="I660" i="148"/>
  <c r="P20" i="49" l="1"/>
  <c r="F9" i="151"/>
  <c r="F10" i="151"/>
  <c r="F331" i="148" s="1"/>
  <c r="F11" i="151"/>
  <c r="I22" i="112" l="1"/>
  <c r="E42" i="112"/>
  <c r="J43" i="112"/>
  <c r="L16" i="112" l="1"/>
  <c r="M17" i="112" l="1"/>
  <c r="L17" i="112"/>
  <c r="N387" i="148"/>
  <c r="F7" i="151" l="1"/>
  <c r="K339" i="148"/>
  <c r="J339" i="148"/>
  <c r="K334" i="148" l="1"/>
  <c r="I275" i="148" l="1"/>
  <c r="I274" i="148"/>
  <c r="I273" i="148"/>
  <c r="I272" i="148"/>
  <c r="E57" i="112"/>
  <c r="G57" i="112"/>
  <c r="H57" i="112"/>
  <c r="I57" i="112" s="1"/>
  <c r="J57" i="112"/>
  <c r="J277" i="148" l="1"/>
  <c r="I277" i="148"/>
  <c r="I276" i="148"/>
  <c r="I279" i="148"/>
  <c r="J278" i="148" l="1"/>
  <c r="I278" i="148"/>
  <c r="J279" i="148"/>
  <c r="C41" i="13" l="1"/>
  <c r="F1598" i="14"/>
  <c r="H1598" i="14" s="1"/>
  <c r="F1596" i="14"/>
  <c r="H1596" i="14" s="1"/>
  <c r="F1565" i="14"/>
  <c r="F1563" i="14"/>
  <c r="E1608" i="14"/>
  <c r="E1607" i="14"/>
  <c r="E1605" i="14"/>
  <c r="E1604" i="14"/>
  <c r="E1603" i="14"/>
  <c r="E1600" i="14"/>
  <c r="E1592" i="14"/>
  <c r="C40" i="13" l="1"/>
  <c r="F1570" i="14"/>
  <c r="O42" i="15"/>
  <c r="L42" i="15"/>
  <c r="K42" i="15"/>
  <c r="O41" i="15"/>
  <c r="L41" i="15"/>
  <c r="K41" i="15"/>
  <c r="O40" i="15"/>
  <c r="L40" i="15"/>
  <c r="K40" i="15"/>
  <c r="O39" i="15"/>
  <c r="L39" i="15"/>
  <c r="K39" i="15"/>
  <c r="O37" i="15"/>
  <c r="L37" i="15"/>
  <c r="K37" i="15"/>
  <c r="Q72" i="16"/>
  <c r="Q71" i="16"/>
  <c r="Q70" i="16"/>
  <c r="E1579" i="14"/>
  <c r="E1578" i="14"/>
  <c r="E1576" i="14"/>
  <c r="E1575" i="14"/>
  <c r="E1574" i="14"/>
  <c r="E1571" i="14"/>
  <c r="E1570" i="14"/>
  <c r="E1569" i="14"/>
  <c r="E1568" i="14"/>
  <c r="E1567" i="14"/>
  <c r="E1566" i="14"/>
  <c r="E1565" i="14"/>
  <c r="H1565" i="14" s="1"/>
  <c r="E1564" i="14"/>
  <c r="E1563" i="14"/>
  <c r="H1563" i="14" s="1"/>
  <c r="E1561" i="14"/>
  <c r="E1559" i="14"/>
  <c r="E1557" i="14"/>
  <c r="E1556" i="14"/>
  <c r="E1555" i="14"/>
  <c r="E1554" i="14"/>
  <c r="E1553" i="14"/>
  <c r="E1552" i="14"/>
  <c r="P40" i="15" l="1"/>
  <c r="F1567" i="14" s="1"/>
  <c r="H1567" i="14" s="1"/>
  <c r="F1553" i="14"/>
  <c r="F1586" i="14"/>
  <c r="H1586" i="14" s="1"/>
  <c r="P39" i="15"/>
  <c r="P42" i="15"/>
  <c r="F1569" i="14" s="1"/>
  <c r="H1569" i="14" s="1"/>
  <c r="F1554" i="14"/>
  <c r="H1554" i="14" s="1"/>
  <c r="F1587" i="14"/>
  <c r="H1587" i="14" s="1"/>
  <c r="P37" i="15"/>
  <c r="F1557" i="14"/>
  <c r="H1557" i="14" s="1"/>
  <c r="F1590" i="14"/>
  <c r="H1590" i="14" s="1"/>
  <c r="P41" i="15"/>
  <c r="F1568" i="14" s="1"/>
  <c r="H1568" i="14" s="1"/>
  <c r="H1574" i="14"/>
  <c r="H1553" i="14"/>
  <c r="H1570" i="14"/>
  <c r="F1599" i="14" l="1"/>
  <c r="H1599" i="14" s="1"/>
  <c r="F1566" i="14"/>
  <c r="H1566" i="14" s="1"/>
  <c r="F1597" i="14"/>
  <c r="H1597" i="14" s="1"/>
  <c r="H1600" i="14" s="1"/>
  <c r="H1595" i="14" s="1"/>
  <c r="F1564" i="14"/>
  <c r="H1564" i="14" s="1"/>
  <c r="H1571" i="14" l="1"/>
  <c r="H1562" i="14" s="1"/>
  <c r="P13" i="49"/>
  <c r="E86" i="151" l="1"/>
  <c r="E61" i="151" l="1"/>
  <c r="E59" i="151"/>
  <c r="C10" i="13" l="1"/>
  <c r="E1122" i="14"/>
  <c r="E1121" i="14"/>
  <c r="E1119" i="14"/>
  <c r="E1118" i="14"/>
  <c r="E1117" i="14"/>
  <c r="G1114" i="14"/>
  <c r="E1114" i="14"/>
  <c r="E67" i="151" l="1"/>
  <c r="N541" i="148" l="1"/>
  <c r="E62" i="151" l="1"/>
  <c r="E60" i="151" l="1"/>
  <c r="F93" i="151" l="1"/>
  <c r="K384" i="148"/>
  <c r="K379" i="148"/>
  <c r="J379" i="148"/>
  <c r="N376" i="148"/>
  <c r="O376" i="148" s="1"/>
  <c r="K376" i="148"/>
  <c r="J376" i="148"/>
  <c r="I376" i="148"/>
  <c r="N367" i="148"/>
  <c r="O367" i="148" s="1"/>
  <c r="K367" i="148"/>
  <c r="J367" i="148"/>
  <c r="I367" i="148"/>
  <c r="L367" i="148" l="1"/>
  <c r="L376" i="148"/>
  <c r="E1545" i="14" l="1"/>
  <c r="E1519" i="14"/>
  <c r="E1482" i="14"/>
  <c r="E1457" i="14"/>
  <c r="E1432" i="14"/>
  <c r="E1401" i="14"/>
  <c r="E1375" i="14"/>
  <c r="E1353" i="14"/>
  <c r="E1324" i="14"/>
  <c r="E1302" i="14"/>
  <c r="E1278" i="14"/>
  <c r="E1256" i="14"/>
  <c r="E1234" i="14"/>
  <c r="E1205" i="14"/>
  <c r="E1177" i="14"/>
  <c r="E1149" i="14"/>
  <c r="E1107" i="14"/>
  <c r="E1093" i="14"/>
  <c r="E1064" i="14"/>
  <c r="E1035" i="14"/>
  <c r="E1007" i="14"/>
  <c r="E979" i="14"/>
  <c r="E951" i="14"/>
  <c r="E922" i="14"/>
  <c r="E893" i="14"/>
  <c r="E864" i="14"/>
  <c r="E835" i="14"/>
  <c r="E812" i="14"/>
  <c r="E789" i="14"/>
  <c r="E766" i="14"/>
  <c r="E741" i="14"/>
  <c r="E716" i="14"/>
  <c r="E691" i="14"/>
  <c r="E668" i="14"/>
  <c r="E645" i="14"/>
  <c r="E622" i="14"/>
  <c r="E572" i="14"/>
  <c r="E547" i="14"/>
  <c r="E522" i="14"/>
  <c r="E498" i="14"/>
  <c r="E474" i="14"/>
  <c r="E450" i="14"/>
  <c r="E426" i="14"/>
  <c r="E402" i="14"/>
  <c r="E378" i="14"/>
  <c r="E354" i="14"/>
  <c r="E330" i="14"/>
  <c r="E306" i="14"/>
  <c r="E282" i="14"/>
  <c r="E258" i="14"/>
  <c r="E234" i="14"/>
  <c r="E210" i="14"/>
  <c r="E184" i="14"/>
  <c r="E158" i="14"/>
  <c r="E132" i="14"/>
  <c r="E106" i="14"/>
  <c r="E79" i="14"/>
  <c r="E58" i="14"/>
  <c r="E37" i="14"/>
  <c r="E1546" i="14"/>
  <c r="E1520" i="14"/>
  <c r="E1483" i="14"/>
  <c r="E1458" i="14"/>
  <c r="E1433" i="14"/>
  <c r="E1402" i="14"/>
  <c r="E1376" i="14"/>
  <c r="E1354" i="14"/>
  <c r="E1325" i="14"/>
  <c r="E1303" i="14"/>
  <c r="E1279" i="14"/>
  <c r="E1257" i="14"/>
  <c r="E1235" i="14"/>
  <c r="E1206" i="14"/>
  <c r="E1178" i="14"/>
  <c r="E1150" i="14"/>
  <c r="E1108" i="14"/>
  <c r="E1094" i="14"/>
  <c r="E1065" i="14"/>
  <c r="E1036" i="14"/>
  <c r="E1008" i="14"/>
  <c r="E980" i="14"/>
  <c r="E952" i="14"/>
  <c r="E923" i="14"/>
  <c r="E894" i="14"/>
  <c r="E865" i="14"/>
  <c r="E836" i="14"/>
  <c r="E813" i="14"/>
  <c r="E790" i="14"/>
  <c r="E767" i="14"/>
  <c r="E742" i="14"/>
  <c r="E717" i="14"/>
  <c r="E692" i="14"/>
  <c r="E669" i="14"/>
  <c r="E646" i="14"/>
  <c r="E623" i="14"/>
  <c r="E573" i="14"/>
  <c r="E548" i="14"/>
  <c r="E523" i="14"/>
  <c r="E499" i="14"/>
  <c r="E475" i="14"/>
  <c r="E451" i="14"/>
  <c r="E427" i="14"/>
  <c r="E403" i="14"/>
  <c r="E379" i="14"/>
  <c r="E355" i="14"/>
  <c r="E331" i="14"/>
  <c r="E307" i="14"/>
  <c r="E283" i="14"/>
  <c r="E259" i="14"/>
  <c r="E235" i="14"/>
  <c r="E211" i="14"/>
  <c r="E185" i="14"/>
  <c r="E159" i="14"/>
  <c r="E133" i="14"/>
  <c r="E107" i="14"/>
  <c r="E80" i="14"/>
  <c r="E59" i="14"/>
  <c r="E38" i="14"/>
  <c r="E16" i="14"/>
  <c r="N289" i="148" l="1"/>
  <c r="M21" i="112" l="1"/>
  <c r="L18" i="112"/>
  <c r="I289" i="148"/>
  <c r="J289" i="148"/>
  <c r="K289" i="148"/>
  <c r="Q288" i="148"/>
  <c r="Q287" i="148"/>
  <c r="Q286" i="148"/>
  <c r="L289" i="148" l="1"/>
  <c r="I415" i="148"/>
  <c r="I414" i="148"/>
  <c r="K409" i="148"/>
  <c r="J409" i="148"/>
  <c r="J283" i="148" l="1"/>
  <c r="I283" i="148"/>
  <c r="J282" i="148"/>
  <c r="I281" i="148"/>
  <c r="N280" i="148"/>
  <c r="O280" i="148" s="1"/>
  <c r="L280" i="148"/>
  <c r="K285" i="148" l="1"/>
  <c r="J285" i="148"/>
  <c r="I282" i="148"/>
  <c r="F9" i="14" l="1"/>
  <c r="K679" i="148" l="1"/>
  <c r="K676" i="148"/>
  <c r="Q676" i="148" l="1"/>
  <c r="Q675" i="148"/>
  <c r="K675" i="148"/>
  <c r="E117" i="151"/>
  <c r="I658" i="148" l="1"/>
  <c r="K728" i="148"/>
  <c r="I727" i="148"/>
  <c r="K705" i="148"/>
  <c r="I263" i="148" l="1"/>
  <c r="J266" i="148"/>
  <c r="I266" i="148"/>
  <c r="L23" i="112"/>
  <c r="M18" i="112"/>
  <c r="K375" i="148"/>
  <c r="K366" i="148"/>
  <c r="J366" i="148"/>
  <c r="I366" i="148"/>
  <c r="I360" i="148"/>
  <c r="K359" i="148"/>
  <c r="K355" i="148"/>
  <c r="J355" i="148"/>
  <c r="K352" i="148"/>
  <c r="J352" i="148"/>
  <c r="I352" i="148"/>
  <c r="K346" i="148"/>
  <c r="K344" i="148"/>
  <c r="J344" i="148"/>
  <c r="K343" i="148"/>
  <c r="J343" i="148"/>
  <c r="K341" i="148"/>
  <c r="J341" i="148"/>
  <c r="K340" i="148"/>
  <c r="J340" i="148"/>
  <c r="I336" i="148"/>
  <c r="I335" i="148"/>
  <c r="K326" i="148"/>
  <c r="J326" i="148"/>
  <c r="I326" i="148"/>
  <c r="J270" i="148"/>
  <c r="I270" i="148"/>
  <c r="I259" i="148"/>
  <c r="J263" i="148" l="1"/>
  <c r="K356" i="148"/>
  <c r="I356" i="148"/>
  <c r="N352" i="148"/>
  <c r="O352" i="148" s="1"/>
  <c r="L352" i="148"/>
  <c r="K332" i="148" l="1"/>
  <c r="J332" i="148"/>
  <c r="I47" i="112" l="1"/>
  <c r="I46" i="112"/>
  <c r="I45" i="112"/>
  <c r="I44" i="112"/>
  <c r="R19" i="49" l="1"/>
  <c r="E43" i="151" s="1"/>
  <c r="R7" i="49"/>
  <c r="E30" i="151" s="1"/>
  <c r="E42" i="151" l="1"/>
  <c r="C20" i="49"/>
  <c r="R18" i="49"/>
  <c r="R12" i="49"/>
  <c r="E165" i="151" s="1"/>
  <c r="R10" i="49"/>
  <c r="E161" i="151" s="1"/>
  <c r="R8" i="49"/>
  <c r="E155" i="151" s="1"/>
  <c r="R6" i="49"/>
  <c r="E28" i="151" s="1"/>
  <c r="R5" i="49"/>
  <c r="E29" i="151" s="1"/>
  <c r="R11" i="49"/>
  <c r="R9" i="49"/>
  <c r="E156" i="151" s="1"/>
  <c r="E163" i="151" l="1"/>
  <c r="E164" i="151"/>
  <c r="E162" i="151"/>
  <c r="E73" i="151"/>
  <c r="F73" i="151" s="1"/>
  <c r="E118" i="151"/>
  <c r="F118" i="151" s="1"/>
  <c r="O19" i="49" l="1"/>
  <c r="O18" i="49"/>
  <c r="S26" i="227"/>
  <c r="S25" i="227"/>
  <c r="J24" i="227"/>
  <c r="E24" i="227"/>
  <c r="D20" i="227"/>
  <c r="S14" i="227"/>
  <c r="V7" i="227"/>
  <c r="D12" i="227" s="1"/>
  <c r="V6" i="227"/>
  <c r="D11" i="227" s="1"/>
  <c r="R6" i="227"/>
  <c r="Q6" i="227"/>
  <c r="P6" i="227"/>
  <c r="S24" i="227" l="1"/>
  <c r="P22" i="227"/>
  <c r="P21" i="227"/>
  <c r="P12" i="227"/>
  <c r="P11" i="227"/>
  <c r="P13" i="227"/>
  <c r="R22" i="227"/>
  <c r="R21" i="227"/>
  <c r="R12" i="227"/>
  <c r="R11" i="227"/>
  <c r="R13" i="227"/>
  <c r="Q11" i="227"/>
  <c r="Q12" i="227"/>
  <c r="Q21" i="227"/>
  <c r="Q22" i="227"/>
  <c r="Q13" i="227"/>
  <c r="Q20" i="227" l="1"/>
  <c r="Q10" i="227"/>
  <c r="Q15" i="227" s="1"/>
  <c r="Q16" i="227" s="1"/>
  <c r="R10" i="227"/>
  <c r="R15" i="227" s="1"/>
  <c r="R16" i="227" s="1"/>
  <c r="R20" i="227"/>
  <c r="P10" i="227"/>
  <c r="P15" i="227" s="1"/>
  <c r="P16" i="227" s="1"/>
  <c r="P20" i="227"/>
  <c r="P17" i="227" l="1"/>
  <c r="P18" i="227" s="1"/>
  <c r="R17" i="227"/>
  <c r="R18" i="227" s="1"/>
  <c r="Q17" i="227"/>
  <c r="Q18" i="227" s="1"/>
  <c r="O289" i="148"/>
  <c r="J325" i="148" l="1"/>
  <c r="I325" i="148" l="1"/>
  <c r="G10" i="151" l="1"/>
  <c r="K81" i="111" l="1"/>
  <c r="K80" i="111"/>
  <c r="K79" i="111"/>
  <c r="K78" i="111"/>
  <c r="K77" i="111"/>
  <c r="K76" i="111"/>
  <c r="K75" i="111"/>
  <c r="K74" i="111"/>
  <c r="K73" i="111"/>
  <c r="K72" i="111"/>
  <c r="K71" i="111"/>
  <c r="K70" i="111"/>
  <c r="K69" i="111"/>
  <c r="K68" i="111"/>
  <c r="K67" i="111"/>
  <c r="K66" i="111"/>
  <c r="K65" i="111"/>
  <c r="K64" i="111"/>
  <c r="K63" i="111"/>
  <c r="K62" i="111"/>
  <c r="K61" i="111"/>
  <c r="K60" i="111"/>
  <c r="K59" i="111"/>
  <c r="K58" i="111"/>
  <c r="K57" i="111"/>
  <c r="K56" i="111"/>
  <c r="K55" i="111"/>
  <c r="K54" i="111"/>
  <c r="K53" i="111"/>
  <c r="K52" i="111"/>
  <c r="K41" i="111"/>
  <c r="K40" i="111"/>
  <c r="K39" i="111"/>
  <c r="K38" i="111"/>
  <c r="K37" i="111"/>
  <c r="K36" i="111"/>
  <c r="K35" i="111"/>
  <c r="K34" i="111"/>
  <c r="K33" i="111"/>
  <c r="K32" i="111"/>
  <c r="K21" i="111"/>
  <c r="K20" i="111"/>
  <c r="K18" i="111"/>
  <c r="K17" i="111"/>
  <c r="K15" i="111"/>
  <c r="K14" i="111"/>
  <c r="K13" i="111"/>
  <c r="K12" i="111"/>
  <c r="W7" i="26" l="1"/>
  <c r="W6" i="26"/>
  <c r="I250" i="148" l="1"/>
  <c r="D12" i="26" l="1"/>
  <c r="I15" i="13"/>
  <c r="I28" i="13"/>
  <c r="C17" i="13"/>
  <c r="C14" i="13"/>
  <c r="E637" i="14"/>
  <c r="E636" i="14"/>
  <c r="E634" i="14"/>
  <c r="E633" i="14"/>
  <c r="E630" i="14"/>
  <c r="E629" i="14"/>
  <c r="E539" i="14"/>
  <c r="E538" i="14"/>
  <c r="E536" i="14"/>
  <c r="E535" i="14"/>
  <c r="E532" i="14"/>
  <c r="E531" i="14"/>
  <c r="E530" i="14"/>
  <c r="E529" i="14"/>
  <c r="C11" i="13"/>
  <c r="E226" i="14"/>
  <c r="E225" i="14"/>
  <c r="E223" i="14"/>
  <c r="E222" i="14"/>
  <c r="E219" i="14"/>
  <c r="E218" i="14"/>
  <c r="I308" i="148" l="1"/>
  <c r="C16" i="13" l="1"/>
  <c r="N546" i="148" l="1"/>
  <c r="K547" i="148" l="1"/>
  <c r="I547" i="148"/>
  <c r="O546" i="148"/>
  <c r="L546" i="148"/>
  <c r="L421" i="148" l="1"/>
  <c r="K506" i="148"/>
  <c r="I506" i="148"/>
  <c r="N504" i="148"/>
  <c r="O504" i="148" s="1"/>
  <c r="L504" i="148"/>
  <c r="J253" i="148" l="1"/>
  <c r="I267" i="148"/>
  <c r="J267" i="148"/>
  <c r="J298" i="148" l="1"/>
  <c r="I253" i="148"/>
  <c r="I298" i="148"/>
  <c r="K62" i="148" l="1"/>
  <c r="N238" i="148" l="1"/>
  <c r="O238" i="148" s="1"/>
  <c r="N230" i="148"/>
  <c r="O230" i="148" s="1"/>
  <c r="K569" i="148" l="1"/>
  <c r="I569" i="148"/>
  <c r="K568" i="148"/>
  <c r="I568" i="148"/>
  <c r="K563" i="148"/>
  <c r="J555" i="148"/>
  <c r="K555" i="148"/>
  <c r="J556" i="148"/>
  <c r="K556" i="148"/>
  <c r="K541" i="148"/>
  <c r="J541" i="148"/>
  <c r="I541" i="148"/>
  <c r="K536" i="148"/>
  <c r="J536" i="148"/>
  <c r="K526" i="148"/>
  <c r="I526" i="148"/>
  <c r="K525" i="148"/>
  <c r="J525" i="148"/>
  <c r="I525" i="148"/>
  <c r="K524" i="148"/>
  <c r="K522" i="148"/>
  <c r="J522" i="148"/>
  <c r="I522" i="148"/>
  <c r="I491" i="148"/>
  <c r="K487" i="148"/>
  <c r="J487" i="148"/>
  <c r="I487" i="148"/>
  <c r="I486" i="148"/>
  <c r="I485" i="148"/>
  <c r="I484" i="148"/>
  <c r="K483" i="148"/>
  <c r="J483" i="148"/>
  <c r="K470" i="148"/>
  <c r="J470" i="148"/>
  <c r="I470" i="148"/>
  <c r="I468" i="148"/>
  <c r="K466" i="148"/>
  <c r="J466" i="148"/>
  <c r="K465" i="148"/>
  <c r="K463" i="148"/>
  <c r="J463" i="148"/>
  <c r="I463" i="148"/>
  <c r="I462" i="148"/>
  <c r="I460" i="148"/>
  <c r="I452" i="148"/>
  <c r="K440" i="148"/>
  <c r="J440" i="148"/>
  <c r="I440" i="148"/>
  <c r="K434" i="148"/>
  <c r="I434" i="148"/>
  <c r="K432" i="148"/>
  <c r="J432" i="148"/>
  <c r="K430" i="148"/>
  <c r="I430" i="148"/>
  <c r="K405" i="148"/>
  <c r="I399" i="148"/>
  <c r="I397" i="148"/>
  <c r="K388" i="148"/>
  <c r="J388" i="148"/>
  <c r="I388" i="148"/>
  <c r="I349" i="148"/>
  <c r="I260" i="148"/>
  <c r="I256" i="148"/>
  <c r="K255" i="148"/>
  <c r="I255" i="148"/>
  <c r="K240" i="148"/>
  <c r="I240" i="148"/>
  <c r="K238" i="148"/>
  <c r="J238" i="148"/>
  <c r="I238" i="148"/>
  <c r="K236" i="148"/>
  <c r="K235" i="148"/>
  <c r="K230" i="148"/>
  <c r="J230" i="148"/>
  <c r="I230" i="148"/>
  <c r="I205" i="148"/>
  <c r="I204" i="148"/>
  <c r="K203" i="148"/>
  <c r="J203" i="148"/>
  <c r="I203" i="148"/>
  <c r="K202" i="148"/>
  <c r="J202" i="148"/>
  <c r="I202" i="148"/>
  <c r="I199" i="148"/>
  <c r="K197" i="148"/>
  <c r="J197" i="148"/>
  <c r="I197" i="148"/>
  <c r="K184" i="148"/>
  <c r="J184" i="148"/>
  <c r="I184" i="148"/>
  <c r="J183" i="148"/>
  <c r="I183" i="148"/>
  <c r="I179" i="148"/>
  <c r="I178" i="148"/>
  <c r="K177" i="148"/>
  <c r="I176" i="148"/>
  <c r="K174" i="148"/>
  <c r="I169" i="148"/>
  <c r="I165" i="148"/>
  <c r="I163" i="148"/>
  <c r="I160" i="148"/>
  <c r="K157" i="148"/>
  <c r="J157" i="148"/>
  <c r="I157" i="148"/>
  <c r="K147" i="148"/>
  <c r="I145" i="148"/>
  <c r="K144" i="148"/>
  <c r="J144" i="148"/>
  <c r="I144" i="148"/>
  <c r="I141" i="148"/>
  <c r="K131" i="148"/>
  <c r="J131" i="148"/>
  <c r="I131" i="148"/>
  <c r="K126" i="148"/>
  <c r="J126" i="148"/>
  <c r="K117" i="148"/>
  <c r="J117" i="148"/>
  <c r="I117" i="148"/>
  <c r="K116" i="148"/>
  <c r="I114" i="148"/>
  <c r="I112" i="148"/>
  <c r="I110" i="148"/>
  <c r="K108" i="148"/>
  <c r="K97" i="148"/>
  <c r="J97" i="148"/>
  <c r="K82" i="148"/>
  <c r="K79" i="148"/>
  <c r="K76" i="148"/>
  <c r="J76" i="148"/>
  <c r="I76" i="148"/>
  <c r="K75" i="148"/>
  <c r="J75" i="148"/>
  <c r="K73" i="148"/>
  <c r="I73" i="148"/>
  <c r="K72" i="148"/>
  <c r="K68" i="148"/>
  <c r="J68" i="148"/>
  <c r="I68" i="148"/>
  <c r="K67" i="148"/>
  <c r="K66" i="148"/>
  <c r="K65" i="148"/>
  <c r="K64" i="148"/>
  <c r="J64" i="148"/>
  <c r="K63" i="148"/>
  <c r="J63" i="148"/>
  <c r="I63" i="148"/>
  <c r="K57" i="148"/>
  <c r="J57" i="148"/>
  <c r="I57" i="148"/>
  <c r="K56" i="148"/>
  <c r="K54" i="148"/>
  <c r="K50" i="148"/>
  <c r="K47" i="148"/>
  <c r="K43" i="148"/>
  <c r="I269" i="148"/>
  <c r="I268" i="148"/>
  <c r="J261" i="148"/>
  <c r="J181" i="148"/>
  <c r="I181" i="148" l="1"/>
  <c r="K261" i="148"/>
  <c r="J268" i="148"/>
  <c r="J269" i="148"/>
  <c r="L23" i="148"/>
  <c r="L38" i="148"/>
  <c r="L57" i="148"/>
  <c r="L63" i="148"/>
  <c r="L68" i="148"/>
  <c r="L76" i="148"/>
  <c r="L85" i="148"/>
  <c r="L117" i="148"/>
  <c r="L131" i="148"/>
  <c r="L139" i="148"/>
  <c r="L144" i="148"/>
  <c r="L157" i="148"/>
  <c r="L190" i="148"/>
  <c r="L194" i="148"/>
  <c r="L197" i="148"/>
  <c r="L202" i="148"/>
  <c r="L203" i="148"/>
  <c r="L209" i="148"/>
  <c r="L225" i="148"/>
  <c r="L230" i="148"/>
  <c r="L238" i="148"/>
  <c r="L239" i="148"/>
  <c r="L245" i="148"/>
  <c r="L248" i="148"/>
  <c r="L326" i="148"/>
  <c r="L366" i="148"/>
  <c r="L388" i="148"/>
  <c r="L416" i="148"/>
  <c r="L423" i="148"/>
  <c r="L440" i="148"/>
  <c r="L463" i="148"/>
  <c r="L487" i="148"/>
  <c r="L493" i="148"/>
  <c r="L435" i="148"/>
  <c r="L514" i="148"/>
  <c r="L516" i="148"/>
  <c r="L522" i="148"/>
  <c r="L525" i="148"/>
  <c r="L541" i="148"/>
  <c r="L550" i="148"/>
  <c r="L557" i="148"/>
  <c r="L574" i="148"/>
  <c r="L603" i="148"/>
  <c r="L617" i="148"/>
  <c r="L623" i="148"/>
  <c r="L631" i="148"/>
  <c r="L648" i="148"/>
  <c r="L650" i="148"/>
  <c r="L684" i="148"/>
  <c r="L716" i="148"/>
  <c r="L734" i="148"/>
  <c r="L840" i="148"/>
  <c r="L859" i="148"/>
  <c r="L865" i="148"/>
  <c r="L874" i="148"/>
  <c r="L882" i="148"/>
  <c r="L892" i="148"/>
  <c r="L936" i="148"/>
  <c r="L960" i="148"/>
  <c r="L8" i="148"/>
  <c r="L9" i="148"/>
  <c r="K564" i="148"/>
  <c r="N23" i="148"/>
  <c r="N38" i="148"/>
  <c r="N57" i="148"/>
  <c r="N63" i="148"/>
  <c r="N68" i="148"/>
  <c r="N76" i="148"/>
  <c r="N84" i="148"/>
  <c r="N85" i="148"/>
  <c r="K565" i="148" l="1"/>
  <c r="I565" i="148"/>
  <c r="I467" i="148"/>
  <c r="F21" i="151"/>
  <c r="F22" i="151"/>
  <c r="I185" i="148"/>
  <c r="J185" i="148"/>
  <c r="K185" i="148"/>
  <c r="I186" i="148"/>
  <c r="L185" i="148" l="1"/>
  <c r="L470" i="148"/>
  <c r="L184" i="148"/>
  <c r="I492" i="148"/>
  <c r="K481" i="148"/>
  <c r="I450" i="148"/>
  <c r="I498" i="148"/>
  <c r="I497" i="148"/>
  <c r="I495" i="148"/>
  <c r="I453" i="148"/>
  <c r="J451" i="148"/>
  <c r="I451" i="148"/>
  <c r="K450" i="148"/>
  <c r="I449" i="148"/>
  <c r="K448" i="148"/>
  <c r="J448" i="148"/>
  <c r="I180" i="148"/>
  <c r="E116" i="151"/>
  <c r="E78" i="151"/>
  <c r="E74" i="151"/>
  <c r="F74" i="151" s="1"/>
  <c r="E34" i="151"/>
  <c r="K461" i="148" l="1"/>
  <c r="I237" i="148"/>
  <c r="K237" i="148"/>
  <c r="J142" i="148"/>
  <c r="K142" i="148"/>
  <c r="K532" i="148"/>
  <c r="J532" i="148"/>
  <c r="I461" i="148"/>
  <c r="E53" i="151"/>
  <c r="E54" i="151"/>
  <c r="E24" i="151"/>
  <c r="E23" i="151"/>
  <c r="E12" i="151"/>
  <c r="I167" i="148" l="1"/>
  <c r="I168" i="148" l="1"/>
  <c r="J168" i="148"/>
  <c r="H117" i="151"/>
  <c r="H78" i="151"/>
  <c r="H74" i="151"/>
  <c r="H34" i="151"/>
  <c r="F46" i="151"/>
  <c r="F47" i="151"/>
  <c r="F48" i="151"/>
  <c r="F49" i="151"/>
  <c r="F50" i="151"/>
  <c r="J121" i="148"/>
  <c r="I121" i="148"/>
  <c r="N117" i="148"/>
  <c r="O117" i="148" s="1"/>
  <c r="F191" i="151"/>
  <c r="J115" i="148" l="1"/>
  <c r="K115" i="148"/>
  <c r="I175" i="148"/>
  <c r="K175" i="148"/>
  <c r="A3" i="148" l="1"/>
  <c r="A2" i="148"/>
  <c r="G718" i="148" l="1"/>
  <c r="J1524" i="14" l="1"/>
  <c r="J1487" i="14"/>
  <c r="J1437" i="14"/>
  <c r="J1380" i="14"/>
  <c r="J1329" i="14"/>
  <c r="J1307" i="14"/>
  <c r="J1283" i="14"/>
  <c r="J1210" i="14"/>
  <c r="J1182" i="14"/>
  <c r="J1154" i="14"/>
  <c r="J1126" i="14"/>
  <c r="J1069" i="14"/>
  <c r="J1040" i="14"/>
  <c r="J927" i="14"/>
  <c r="J898" i="14"/>
  <c r="J869" i="14"/>
  <c r="J840" i="14"/>
  <c r="J817" i="14"/>
  <c r="J794" i="14"/>
  <c r="J746" i="14"/>
  <c r="J721" i="14"/>
  <c r="J503" i="14"/>
  <c r="J479" i="14"/>
  <c r="J455" i="14"/>
  <c r="J407" i="14"/>
  <c r="J383" i="14"/>
  <c r="J359" i="14"/>
  <c r="J263" i="14"/>
  <c r="J189" i="14"/>
  <c r="J163" i="14"/>
  <c r="J111" i="14"/>
  <c r="J84" i="14"/>
  <c r="J63" i="14"/>
  <c r="J42" i="14"/>
  <c r="J7" i="14"/>
  <c r="C35" i="13"/>
  <c r="C34" i="13"/>
  <c r="C36" i="13"/>
  <c r="C37" i="13"/>
  <c r="C38" i="13"/>
  <c r="C39" i="13"/>
  <c r="C33" i="13"/>
  <c r="D32" i="13"/>
  <c r="C32" i="13"/>
  <c r="C18" i="13"/>
  <c r="D18" i="13"/>
  <c r="D16" i="13"/>
  <c r="C13" i="13"/>
  <c r="D13" i="13"/>
  <c r="I6" i="13" l="1"/>
  <c r="I44" i="13" s="1"/>
  <c r="I47" i="13" l="1"/>
  <c r="I200" i="148"/>
  <c r="J200" i="148"/>
  <c r="N245" i="148" l="1"/>
  <c r="O245" i="148" s="1"/>
  <c r="N239" i="148"/>
  <c r="O239" i="148" s="1"/>
  <c r="N197" i="148"/>
  <c r="O197" i="148" s="1"/>
  <c r="E119" i="151"/>
  <c r="J201" i="148" l="1"/>
  <c r="J74" i="148"/>
  <c r="K74" i="148"/>
  <c r="I222" i="148"/>
  <c r="J206" i="148"/>
  <c r="K206" i="148"/>
  <c r="K246" i="148"/>
  <c r="I201" i="148"/>
  <c r="K218" i="148"/>
  <c r="F23" i="151"/>
  <c r="E137" i="151"/>
  <c r="E79" i="151"/>
  <c r="E45" i="151"/>
  <c r="E44" i="151"/>
  <c r="J224" i="148" l="1"/>
  <c r="I224" i="148"/>
  <c r="F24" i="151"/>
  <c r="F192" i="151" l="1"/>
  <c r="F190" i="151"/>
  <c r="F189" i="151"/>
  <c r="F188" i="151"/>
  <c r="F187" i="151"/>
  <c r="F186" i="151"/>
  <c r="F185" i="151"/>
  <c r="F184" i="151"/>
  <c r="F183" i="151"/>
  <c r="F182" i="151"/>
  <c r="F181" i="151"/>
  <c r="F180" i="151"/>
  <c r="F179" i="151"/>
  <c r="F178" i="151"/>
  <c r="F177" i="151"/>
  <c r="F176" i="151"/>
  <c r="F174" i="151"/>
  <c r="F173" i="151"/>
  <c r="F172" i="151"/>
  <c r="F171" i="151"/>
  <c r="F170" i="151"/>
  <c r="F168" i="151"/>
  <c r="F166" i="151"/>
  <c r="F159" i="151"/>
  <c r="F157" i="151"/>
  <c r="F154" i="151"/>
  <c r="F152" i="151"/>
  <c r="F150" i="151"/>
  <c r="F149" i="151"/>
  <c r="F148" i="151"/>
  <c r="F147" i="151"/>
  <c r="F146" i="151"/>
  <c r="F144" i="151"/>
  <c r="F140" i="151"/>
  <c r="F138" i="151"/>
  <c r="F137" i="151"/>
  <c r="F126" i="151"/>
  <c r="F125" i="151"/>
  <c r="F124" i="151"/>
  <c r="F123" i="151"/>
  <c r="F122" i="151"/>
  <c r="F121" i="151"/>
  <c r="F120" i="151"/>
  <c r="F119" i="151"/>
  <c r="F117" i="151"/>
  <c r="F116" i="151"/>
  <c r="F115" i="151"/>
  <c r="F114" i="151"/>
  <c r="F113" i="151"/>
  <c r="F112" i="151"/>
  <c r="F111" i="151"/>
  <c r="F110" i="151"/>
  <c r="F109" i="151"/>
  <c r="F108" i="151"/>
  <c r="F107" i="151"/>
  <c r="F106" i="151"/>
  <c r="F105" i="151"/>
  <c r="F104" i="151"/>
  <c r="F98" i="151"/>
  <c r="F95" i="151"/>
  <c r="F94" i="151"/>
  <c r="F92" i="151"/>
  <c r="F91" i="151"/>
  <c r="F90" i="151"/>
  <c r="F89" i="151"/>
  <c r="F88" i="151"/>
  <c r="F86" i="151"/>
  <c r="F84" i="151"/>
  <c r="F83" i="151"/>
  <c r="F82" i="151"/>
  <c r="F81" i="151"/>
  <c r="F80" i="151"/>
  <c r="F79" i="151"/>
  <c r="F78" i="151"/>
  <c r="F77" i="151"/>
  <c r="F76" i="151"/>
  <c r="F75" i="151"/>
  <c r="F67" i="151"/>
  <c r="F66" i="151"/>
  <c r="F65" i="151"/>
  <c r="F64" i="151"/>
  <c r="F63" i="151"/>
  <c r="F62" i="151"/>
  <c r="F61" i="151"/>
  <c r="F60" i="151"/>
  <c r="F59" i="151"/>
  <c r="F58" i="151"/>
  <c r="F57" i="151"/>
  <c r="F56" i="151"/>
  <c r="F55" i="151"/>
  <c r="F54" i="151"/>
  <c r="F466" i="148" s="1"/>
  <c r="F53" i="151"/>
  <c r="F52" i="151"/>
  <c r="F45" i="151"/>
  <c r="F44" i="151"/>
  <c r="F33" i="151"/>
  <c r="F32" i="151"/>
  <c r="F31" i="151"/>
  <c r="F27" i="151"/>
  <c r="F26" i="151"/>
  <c r="F25" i="151"/>
  <c r="F17" i="151"/>
  <c r="F16" i="151"/>
  <c r="F15" i="151"/>
  <c r="F14" i="151"/>
  <c r="F13" i="151"/>
  <c r="F12" i="151"/>
  <c r="F8" i="151"/>
  <c r="F6" i="151"/>
  <c r="G5" i="151"/>
  <c r="A3" i="151"/>
  <c r="A2" i="151"/>
  <c r="N962" i="148"/>
  <c r="O962" i="148" s="1"/>
  <c r="L962" i="148"/>
  <c r="N961" i="148"/>
  <c r="N960" i="148"/>
  <c r="O960" i="148" s="1"/>
  <c r="K958" i="148"/>
  <c r="K955" i="148"/>
  <c r="K954" i="148"/>
  <c r="K953" i="148"/>
  <c r="I953" i="148"/>
  <c r="I950" i="148"/>
  <c r="K949" i="148"/>
  <c r="I949" i="148"/>
  <c r="K943" i="148"/>
  <c r="J943" i="148"/>
  <c r="I942" i="148"/>
  <c r="J941" i="148"/>
  <c r="I941" i="148"/>
  <c r="I940" i="148"/>
  <c r="I939" i="148"/>
  <c r="I938" i="148"/>
  <c r="N936" i="148"/>
  <c r="O936" i="148" s="1"/>
  <c r="J935" i="148"/>
  <c r="I935" i="148"/>
  <c r="J934" i="148"/>
  <c r="I934" i="148"/>
  <c r="I933" i="148"/>
  <c r="I918" i="148"/>
  <c r="I917" i="148"/>
  <c r="J916" i="148"/>
  <c r="I916" i="148"/>
  <c r="I915" i="148"/>
  <c r="K914" i="148"/>
  <c r="I913" i="148"/>
  <c r="K912" i="148"/>
  <c r="K905" i="148"/>
  <c r="K904" i="148"/>
  <c r="I904" i="148"/>
  <c r="I903" i="148"/>
  <c r="K899" i="148"/>
  <c r="J899" i="148"/>
  <c r="I898" i="148"/>
  <c r="I897" i="148"/>
  <c r="I896" i="148"/>
  <c r="K895" i="148"/>
  <c r="I895" i="148"/>
  <c r="I893" i="148"/>
  <c r="K891" i="148"/>
  <c r="J891" i="148"/>
  <c r="K890" i="148"/>
  <c r="K881" i="148"/>
  <c r="K880" i="148"/>
  <c r="K873" i="148"/>
  <c r="J873" i="148"/>
  <c r="K872" i="148"/>
  <c r="J872" i="148"/>
  <c r="K871" i="148"/>
  <c r="I871" i="148"/>
  <c r="K869" i="148"/>
  <c r="K856" i="148"/>
  <c r="K843" i="148"/>
  <c r="N839" i="148"/>
  <c r="N734" i="148"/>
  <c r="O734" i="148" s="1"/>
  <c r="I726" i="148"/>
  <c r="I693" i="148"/>
  <c r="K673" i="148"/>
  <c r="K672" i="148"/>
  <c r="K671" i="148"/>
  <c r="K670" i="148"/>
  <c r="K669" i="148"/>
  <c r="K668" i="148"/>
  <c r="K667" i="148"/>
  <c r="K666" i="148"/>
  <c r="N649" i="148"/>
  <c r="N648" i="148"/>
  <c r="O648" i="148" s="1"/>
  <c r="K647" i="148"/>
  <c r="K646" i="148"/>
  <c r="K645" i="148"/>
  <c r="K644" i="148"/>
  <c r="K643" i="148"/>
  <c r="K642" i="148"/>
  <c r="K633" i="148"/>
  <c r="I633" i="148"/>
  <c r="I632" i="148"/>
  <c r="I622" i="148"/>
  <c r="I621" i="148"/>
  <c r="K616" i="148"/>
  <c r="J616" i="148"/>
  <c r="K614" i="148"/>
  <c r="I601" i="148"/>
  <c r="I600" i="148"/>
  <c r="I598" i="148"/>
  <c r="I596" i="148"/>
  <c r="I587" i="148"/>
  <c r="I586" i="148"/>
  <c r="J585" i="148"/>
  <c r="I585" i="148"/>
  <c r="K584" i="148"/>
  <c r="I584" i="148"/>
  <c r="I583" i="148"/>
  <c r="K582" i="148"/>
  <c r="J582" i="148"/>
  <c r="N573" i="148"/>
  <c r="N557" i="148"/>
  <c r="O557" i="148" s="1"/>
  <c r="I552" i="148"/>
  <c r="N551" i="148"/>
  <c r="N550" i="148"/>
  <c r="O550" i="148" s="1"/>
  <c r="K529" i="148"/>
  <c r="N525" i="148"/>
  <c r="O525" i="148" s="1"/>
  <c r="N516" i="148"/>
  <c r="O516" i="148" s="1"/>
  <c r="N515" i="148"/>
  <c r="N514" i="148"/>
  <c r="O514" i="148" s="1"/>
  <c r="I433" i="148"/>
  <c r="I427" i="148"/>
  <c r="K420" i="148"/>
  <c r="I420" i="148"/>
  <c r="K419" i="148"/>
  <c r="I419" i="148"/>
  <c r="K408" i="148"/>
  <c r="K406" i="148"/>
  <c r="J406" i="148"/>
  <c r="K403" i="148"/>
  <c r="I403" i="148"/>
  <c r="K398" i="148"/>
  <c r="I398" i="148"/>
  <c r="K396" i="148"/>
  <c r="K370" i="148"/>
  <c r="J370" i="148"/>
  <c r="I324" i="148"/>
  <c r="K292" i="148"/>
  <c r="J321" i="148"/>
  <c r="I321" i="148"/>
  <c r="J320" i="148"/>
  <c r="I320" i="148"/>
  <c r="J318" i="148"/>
  <c r="I318" i="148"/>
  <c r="J300" i="148"/>
  <c r="I300" i="148"/>
  <c r="J299" i="148"/>
  <c r="I299" i="148"/>
  <c r="I297" i="148"/>
  <c r="I293" i="148"/>
  <c r="J264" i="148"/>
  <c r="I264" i="148"/>
  <c r="I262" i="148"/>
  <c r="I258" i="148"/>
  <c r="I257" i="148"/>
  <c r="I254" i="148"/>
  <c r="I252" i="148"/>
  <c r="N248" i="148"/>
  <c r="O248" i="148" s="1"/>
  <c r="N247" i="148"/>
  <c r="J229" i="148"/>
  <c r="N225" i="148"/>
  <c r="O225" i="148" s="1"/>
  <c r="I217" i="148"/>
  <c r="N202" i="148"/>
  <c r="N194" i="148"/>
  <c r="O194" i="148" s="1"/>
  <c r="N190" i="148"/>
  <c r="O190" i="148" s="1"/>
  <c r="N185" i="148"/>
  <c r="O185" i="148" s="1"/>
  <c r="N184" i="148"/>
  <c r="O184" i="148" s="1"/>
  <c r="J182" i="148"/>
  <c r="I182" i="148"/>
  <c r="J170" i="148"/>
  <c r="I170" i="148"/>
  <c r="I166" i="148"/>
  <c r="I164" i="148"/>
  <c r="K161" i="148"/>
  <c r="I161" i="148"/>
  <c r="K159" i="148"/>
  <c r="I159" i="148"/>
  <c r="N157" i="148"/>
  <c r="O157" i="148" s="1"/>
  <c r="N144" i="148"/>
  <c r="O144" i="148" s="1"/>
  <c r="J143" i="148"/>
  <c r="I143" i="148"/>
  <c r="N139" i="148"/>
  <c r="O139" i="148" s="1"/>
  <c r="N138" i="148"/>
  <c r="O138" i="148" s="1"/>
  <c r="N131" i="148"/>
  <c r="O131" i="148" s="1"/>
  <c r="K107" i="148"/>
  <c r="J107" i="148"/>
  <c r="J89" i="148"/>
  <c r="I89" i="148"/>
  <c r="O85" i="148"/>
  <c r="O84" i="148"/>
  <c r="K52" i="148"/>
  <c r="K44" i="148"/>
  <c r="J41" i="148"/>
  <c r="I41" i="148"/>
  <c r="O38" i="148"/>
  <c r="O76" i="148"/>
  <c r="O68" i="148"/>
  <c r="O63" i="148"/>
  <c r="K31" i="148"/>
  <c r="O23" i="148"/>
  <c r="J13" i="148"/>
  <c r="I13" i="148"/>
  <c r="J12" i="148"/>
  <c r="I12" i="148"/>
  <c r="N9" i="148"/>
  <c r="O9" i="148" s="1"/>
  <c r="N8" i="148"/>
  <c r="O8" i="148" s="1"/>
  <c r="A8" i="148"/>
  <c r="A9" i="148" s="1"/>
  <c r="L6" i="148"/>
  <c r="G322" i="148" l="1"/>
  <c r="J322" i="148" s="1"/>
  <c r="G311" i="148"/>
  <c r="J311" i="148" s="1"/>
  <c r="G473" i="148"/>
  <c r="J473" i="148" s="1"/>
  <c r="G288" i="148"/>
  <c r="J288" i="148" s="1"/>
  <c r="G287" i="148"/>
  <c r="J287" i="148" s="1"/>
  <c r="G286" i="148"/>
  <c r="J286" i="148" s="1"/>
  <c r="G331" i="148"/>
  <c r="J331" i="148" s="1"/>
  <c r="G330" i="148"/>
  <c r="G329" i="148"/>
  <c r="G437" i="148"/>
  <c r="J437" i="148" s="1"/>
  <c r="G527" i="148"/>
  <c r="G565" i="148"/>
  <c r="J565" i="148" s="1"/>
  <c r="L565" i="148" s="1"/>
  <c r="G386" i="148"/>
  <c r="G659" i="148"/>
  <c r="G660" i="148"/>
  <c r="G193" i="151"/>
  <c r="G126" i="151"/>
  <c r="F305" i="148"/>
  <c r="F385" i="148"/>
  <c r="G140" i="151"/>
  <c r="G171" i="151"/>
  <c r="G676" i="148"/>
  <c r="J676" i="148" s="1"/>
  <c r="G675" i="148"/>
  <c r="J675" i="148" s="1"/>
  <c r="G811" i="148"/>
  <c r="G83" i="151"/>
  <c r="I594" i="148"/>
  <c r="I220" i="148"/>
  <c r="I595" i="148"/>
  <c r="G308" i="148"/>
  <c r="J308" i="148" s="1"/>
  <c r="G549" i="148"/>
  <c r="G544" i="148"/>
  <c r="G127" i="148"/>
  <c r="J127" i="148" s="1"/>
  <c r="G233" i="148"/>
  <c r="J233" i="148" s="1"/>
  <c r="I466" i="148"/>
  <c r="L466" i="148" s="1"/>
  <c r="G113" i="151"/>
  <c r="G383" i="148"/>
  <c r="G124" i="148"/>
  <c r="J124" i="148" s="1"/>
  <c r="G567" i="148"/>
  <c r="J567" i="148" s="1"/>
  <c r="G186" i="148"/>
  <c r="J186" i="148" s="1"/>
  <c r="G958" i="148"/>
  <c r="J958" i="148" s="1"/>
  <c r="G237" i="148"/>
  <c r="G175" i="148"/>
  <c r="J175" i="148" s="1"/>
  <c r="G655" i="148"/>
  <c r="J655" i="148" s="1"/>
  <c r="G43" i="148"/>
  <c r="J43" i="148" s="1"/>
  <c r="G25" i="151"/>
  <c r="F556" i="148"/>
  <c r="G364" i="148"/>
  <c r="J364" i="148" s="1"/>
  <c r="G809" i="148"/>
  <c r="J809" i="148" s="1"/>
  <c r="G77" i="148"/>
  <c r="J77" i="148" s="1"/>
  <c r="G77" i="151"/>
  <c r="G105" i="151"/>
  <c r="G417" i="148"/>
  <c r="J417" i="148" s="1"/>
  <c r="G362" i="148"/>
  <c r="J362" i="148" s="1"/>
  <c r="G559" i="148"/>
  <c r="J559" i="148" s="1"/>
  <c r="G323" i="148"/>
  <c r="J323" i="148" s="1"/>
  <c r="G18" i="148"/>
  <c r="J18" i="148" s="1"/>
  <c r="G26" i="148"/>
  <c r="J26" i="148" s="1"/>
  <c r="G40" i="148"/>
  <c r="J40" i="148" s="1"/>
  <c r="G709" i="148"/>
  <c r="J709" i="148" s="1"/>
  <c r="G132" i="148"/>
  <c r="J132" i="148" s="1"/>
  <c r="G148" i="148"/>
  <c r="J148" i="148" s="1"/>
  <c r="G140" i="148"/>
  <c r="J140" i="148" s="1"/>
  <c r="G150" i="148"/>
  <c r="J150" i="148" s="1"/>
  <c r="G153" i="148"/>
  <c r="J153" i="148" s="1"/>
  <c r="G796" i="148"/>
  <c r="G189" i="148"/>
  <c r="J189" i="148" s="1"/>
  <c r="G799" i="148"/>
  <c r="G254" i="148"/>
  <c r="J254" i="148" s="1"/>
  <c r="G317" i="148"/>
  <c r="J317" i="148" s="1"/>
  <c r="G637" i="148"/>
  <c r="J637" i="148" s="1"/>
  <c r="G428" i="148"/>
  <c r="J428" i="148" s="1"/>
  <c r="G81" i="148"/>
  <c r="J81" i="148" s="1"/>
  <c r="G48" i="148"/>
  <c r="J48" i="148" s="1"/>
  <c r="G187" i="148"/>
  <c r="J187" i="148" s="1"/>
  <c r="G356" i="148"/>
  <c r="G256" i="148"/>
  <c r="J256" i="148" s="1"/>
  <c r="G313" i="148"/>
  <c r="J313" i="148" s="1"/>
  <c r="I11" i="148"/>
  <c r="I309" i="148"/>
  <c r="G94" i="148"/>
  <c r="J94" i="148" s="1"/>
  <c r="G257" i="148"/>
  <c r="J257" i="148" s="1"/>
  <c r="G310" i="148"/>
  <c r="J310" i="148" s="1"/>
  <c r="G938" i="148"/>
  <c r="J938" i="148" s="1"/>
  <c r="F957" i="148"/>
  <c r="I957" i="148" s="1"/>
  <c r="G959" i="148"/>
  <c r="J959" i="148" s="1"/>
  <c r="G14" i="148"/>
  <c r="J14" i="148" s="1"/>
  <c r="G24" i="148"/>
  <c r="J24" i="148" s="1"/>
  <c r="F79" i="148"/>
  <c r="I79" i="148" s="1"/>
  <c r="G80" i="148"/>
  <c r="J80" i="148" s="1"/>
  <c r="G83" i="148"/>
  <c r="J83" i="148" s="1"/>
  <c r="G49" i="148"/>
  <c r="J49" i="148" s="1"/>
  <c r="G101" i="148"/>
  <c r="J101" i="148" s="1"/>
  <c r="G154" i="148"/>
  <c r="J154" i="148" s="1"/>
  <c r="G156" i="148"/>
  <c r="J156" i="148" s="1"/>
  <c r="G192" i="148"/>
  <c r="J192" i="148" s="1"/>
  <c r="G193" i="148"/>
  <c r="J193" i="148" s="1"/>
  <c r="G215" i="148"/>
  <c r="G307" i="148"/>
  <c r="J307" i="148" s="1"/>
  <c r="G309" i="148"/>
  <c r="G314" i="148"/>
  <c r="J314" i="148" s="1"/>
  <c r="G315" i="148"/>
  <c r="J315" i="148" s="1"/>
  <c r="G316" i="148"/>
  <c r="J316" i="148" s="1"/>
  <c r="G400" i="148"/>
  <c r="G418" i="148"/>
  <c r="J418" i="148" s="1"/>
  <c r="G635" i="148"/>
  <c r="J635" i="148" s="1"/>
  <c r="G652" i="148"/>
  <c r="J652" i="148" s="1"/>
  <c r="G810" i="148"/>
  <c r="J810" i="148" s="1"/>
  <c r="K19" i="148"/>
  <c r="I35" i="148"/>
  <c r="I36" i="148"/>
  <c r="I211" i="148"/>
  <c r="I221" i="148"/>
  <c r="I229" i="148"/>
  <c r="K552" i="148"/>
  <c r="J11" i="148"/>
  <c r="K21" i="148"/>
  <c r="J36" i="148"/>
  <c r="K109" i="148"/>
  <c r="I140" i="148"/>
  <c r="K196" i="148"/>
  <c r="K212" i="148"/>
  <c r="J407" i="148"/>
  <c r="J429" i="148"/>
  <c r="I429" i="148"/>
  <c r="I517" i="148"/>
  <c r="I529" i="148"/>
  <c r="J535" i="148"/>
  <c r="J221" i="148"/>
  <c r="I227" i="148"/>
  <c r="K428" i="148"/>
  <c r="I428" i="148"/>
  <c r="K535" i="148"/>
  <c r="G173" i="151"/>
  <c r="G185" i="151"/>
  <c r="F954" i="148"/>
  <c r="I954" i="148" s="1"/>
  <c r="F10" i="148"/>
  <c r="I10" i="148" s="1"/>
  <c r="F50" i="148"/>
  <c r="I50" i="148" s="1"/>
  <c r="G55" i="148"/>
  <c r="J55" i="148" s="1"/>
  <c r="G25" i="148"/>
  <c r="J25" i="148" s="1"/>
  <c r="G528" i="148"/>
  <c r="G378" i="148"/>
  <c r="J378" i="148" s="1"/>
  <c r="G685" i="148"/>
  <c r="J685" i="148" s="1"/>
  <c r="G763" i="148"/>
  <c r="J763" i="148" s="1"/>
  <c r="G42" i="148"/>
  <c r="J42" i="148" s="1"/>
  <c r="G957" i="148"/>
  <c r="J957" i="148" s="1"/>
  <c r="G719" i="148"/>
  <c r="J719" i="148" s="1"/>
  <c r="G689" i="148"/>
  <c r="J689" i="148" s="1"/>
  <c r="G467" i="148"/>
  <c r="J467" i="148" s="1"/>
  <c r="G10" i="148"/>
  <c r="J10" i="148" s="1"/>
  <c r="G695" i="148"/>
  <c r="J695" i="148" s="1"/>
  <c r="G562" i="148"/>
  <c r="J562" i="148" s="1"/>
  <c r="G191" i="148"/>
  <c r="J191" i="148" s="1"/>
  <c r="G195" i="148"/>
  <c r="J195" i="148" s="1"/>
  <c r="G260" i="148"/>
  <c r="J260" i="148" s="1"/>
  <c r="G294" i="148"/>
  <c r="J294" i="148" s="1"/>
  <c r="G336" i="148"/>
  <c r="J336" i="148" s="1"/>
  <c r="G542" i="148"/>
  <c r="J542" i="148" s="1"/>
  <c r="G636" i="148"/>
  <c r="J636" i="148" s="1"/>
  <c r="G638" i="148"/>
  <c r="J638" i="148" s="1"/>
  <c r="G956" i="148"/>
  <c r="J956" i="148" s="1"/>
  <c r="G808" i="148"/>
  <c r="J808" i="148" s="1"/>
  <c r="G737" i="148"/>
  <c r="J737" i="148" s="1"/>
  <c r="G133" i="151"/>
  <c r="G145" i="151"/>
  <c r="G184" i="151"/>
  <c r="G172" i="151"/>
  <c r="K22" i="148"/>
  <c r="K35" i="148"/>
  <c r="G78" i="151"/>
  <c r="I210" i="148"/>
  <c r="G186" i="151"/>
  <c r="G180" i="151"/>
  <c r="I37" i="148"/>
  <c r="G187" i="151"/>
  <c r="G98" i="151"/>
  <c r="G178" i="151"/>
  <c r="I228" i="148"/>
  <c r="J228" i="148"/>
  <c r="G112" i="151"/>
  <c r="I158" i="148"/>
  <c r="I249" i="148"/>
  <c r="G75" i="151"/>
  <c r="G132" i="151"/>
  <c r="G27" i="151"/>
  <c r="G76" i="151"/>
  <c r="K214" i="148"/>
  <c r="I223" i="148"/>
  <c r="I307" i="148"/>
  <c r="K111" i="148"/>
  <c r="G43" i="151"/>
  <c r="I503" i="148"/>
  <c r="I439" i="148"/>
  <c r="J533" i="148"/>
  <c r="I725" i="148"/>
  <c r="I111" i="148"/>
  <c r="G19" i="151"/>
  <c r="G63" i="151"/>
  <c r="K517" i="148"/>
  <c r="G53" i="151"/>
  <c r="K595" i="148"/>
  <c r="K725" i="148"/>
  <c r="G81" i="151"/>
  <c r="K211" i="148"/>
  <c r="K216" i="148"/>
  <c r="K219" i="148"/>
  <c r="J309" i="148"/>
  <c r="K407" i="148"/>
  <c r="K533" i="148"/>
  <c r="G190" i="151"/>
  <c r="G952" i="148"/>
  <c r="J952" i="148" s="1"/>
  <c r="F47" i="148"/>
  <c r="I47" i="148" s="1"/>
  <c r="G39" i="148"/>
  <c r="J39" i="148" s="1"/>
  <c r="G41" i="151"/>
  <c r="F56" i="148"/>
  <c r="I56" i="148" s="1"/>
  <c r="I717" i="148"/>
  <c r="G401" i="148"/>
  <c r="G163" i="151"/>
  <c r="G95" i="151"/>
  <c r="G74" i="151"/>
  <c r="G116" i="151"/>
  <c r="G192" i="151"/>
  <c r="G179" i="151"/>
  <c r="G188" i="148"/>
  <c r="J188" i="148" s="1"/>
  <c r="F292" i="148"/>
  <c r="G39" i="151"/>
  <c r="F418" i="148"/>
  <c r="G402" i="148"/>
  <c r="F637" i="148"/>
  <c r="F635" i="148"/>
  <c r="G181" i="151"/>
  <c r="F636" i="148"/>
  <c r="G183" i="151"/>
  <c r="G662" i="148"/>
  <c r="J662" i="148" s="1"/>
  <c r="F638" i="148"/>
  <c r="G657" i="148"/>
  <c r="J657" i="148" s="1"/>
  <c r="G182" i="151"/>
  <c r="G65" i="151"/>
  <c r="G694" i="148"/>
  <c r="J694" i="148" s="1"/>
  <c r="G940" i="148"/>
  <c r="G71" i="151"/>
  <c r="G44" i="151"/>
  <c r="G68" i="151"/>
  <c r="G66" i="151"/>
  <c r="G31" i="151"/>
  <c r="G6" i="151"/>
  <c r="A6" i="151" s="1"/>
  <c r="G45" i="151"/>
  <c r="G107" i="151"/>
  <c r="G146" i="151"/>
  <c r="G174" i="151"/>
  <c r="C2" i="111"/>
  <c r="G681" i="148" l="1"/>
  <c r="J681" i="148" s="1"/>
  <c r="G948" i="148"/>
  <c r="J948" i="148" s="1"/>
  <c r="F65" i="148"/>
  <c r="I65" i="148" s="1"/>
  <c r="F955" i="148"/>
  <c r="G80" i="151"/>
  <c r="G812" i="148"/>
  <c r="J812" i="148" s="1"/>
  <c r="G910" i="148"/>
  <c r="G830" i="148"/>
  <c r="J830" i="148" s="1"/>
  <c r="G928" i="148"/>
  <c r="J928" i="148" s="1"/>
  <c r="G334" i="148"/>
  <c r="J334" i="148" s="1"/>
  <c r="G345" i="148"/>
  <c r="J345" i="148" s="1"/>
  <c r="G929" i="148"/>
  <c r="J929" i="148" s="1"/>
  <c r="G831" i="148"/>
  <c r="J831" i="148" s="1"/>
  <c r="G842" i="148"/>
  <c r="J842" i="148" s="1"/>
  <c r="G738" i="148"/>
  <c r="J738" i="148" s="1"/>
  <c r="G829" i="148"/>
  <c r="J829" i="148" s="1"/>
  <c r="G927" i="148"/>
  <c r="J927" i="148" s="1"/>
  <c r="G102" i="151"/>
  <c r="G94" i="151"/>
  <c r="G158" i="151"/>
  <c r="G67" i="151"/>
  <c r="G87" i="151"/>
  <c r="G114" i="151"/>
  <c r="G86" i="151"/>
  <c r="G51" i="151"/>
  <c r="G141" i="151"/>
  <c r="F345" i="148"/>
  <c r="F334" i="148"/>
  <c r="N334" i="148" s="1"/>
  <c r="O334" i="148" s="1"/>
  <c r="G729" i="148"/>
  <c r="J729" i="148" s="1"/>
  <c r="G351" i="148"/>
  <c r="J351" i="148" s="1"/>
  <c r="G777" i="148"/>
  <c r="J777" i="148" s="1"/>
  <c r="G881" i="148"/>
  <c r="J881" i="148" s="1"/>
  <c r="G756" i="148"/>
  <c r="J756" i="148" s="1"/>
  <c r="G732" i="148"/>
  <c r="J732" i="148" s="1"/>
  <c r="G687" i="148"/>
  <c r="G678" i="148"/>
  <c r="J678" i="148" s="1"/>
  <c r="G333" i="148"/>
  <c r="G733" i="148"/>
  <c r="J733" i="148" s="1"/>
  <c r="G347" i="148"/>
  <c r="G731" i="148"/>
  <c r="J731" i="148" s="1"/>
  <c r="G677" i="148"/>
  <c r="J677" i="148" s="1"/>
  <c r="G947" i="148"/>
  <c r="J947" i="148" s="1"/>
  <c r="G281" i="148"/>
  <c r="J281" i="148" s="1"/>
  <c r="G730" i="148"/>
  <c r="G135" i="151"/>
  <c r="G924" i="148"/>
  <c r="J924" i="148" s="1"/>
  <c r="G826" i="148"/>
  <c r="J826" i="148" s="1"/>
  <c r="G834" i="148"/>
  <c r="J834" i="148" s="1"/>
  <c r="G932" i="148"/>
  <c r="G798" i="148"/>
  <c r="G783" i="148"/>
  <c r="G815" i="148"/>
  <c r="G913" i="148"/>
  <c r="G846" i="148"/>
  <c r="J846" i="148" s="1"/>
  <c r="G742" i="148"/>
  <c r="J742" i="148" s="1"/>
  <c r="G816" i="148"/>
  <c r="J816" i="148" s="1"/>
  <c r="G914" i="148"/>
  <c r="G749" i="148"/>
  <c r="J749" i="148" s="1"/>
  <c r="G758" i="148"/>
  <c r="J758" i="148" s="1"/>
  <c r="G853" i="148"/>
  <c r="J853" i="148" s="1"/>
  <c r="G862" i="148"/>
  <c r="G835" i="148"/>
  <c r="G933" i="148"/>
  <c r="J933" i="148" s="1"/>
  <c r="G720" i="148"/>
  <c r="J720" i="148" s="1"/>
  <c r="G789" i="148"/>
  <c r="G764" i="148"/>
  <c r="J764" i="148" s="1"/>
  <c r="G757" i="148"/>
  <c r="J757" i="148" s="1"/>
  <c r="G868" i="148"/>
  <c r="J868" i="148" s="1"/>
  <c r="G861" i="148"/>
  <c r="J861" i="148" s="1"/>
  <c r="G54" i="148"/>
  <c r="J54" i="148" s="1"/>
  <c r="G739" i="148"/>
  <c r="J739" i="148" s="1"/>
  <c r="G843" i="148"/>
  <c r="G748" i="148"/>
  <c r="J748" i="148" s="1"/>
  <c r="G852" i="148"/>
  <c r="J852" i="148" s="1"/>
  <c r="G149" i="148"/>
  <c r="J149" i="148" s="1"/>
  <c r="G902" i="148"/>
  <c r="J902" i="148" s="1"/>
  <c r="G804" i="148"/>
  <c r="J804" i="148" s="1"/>
  <c r="G785" i="148"/>
  <c r="J785" i="148" s="1"/>
  <c r="G889" i="148"/>
  <c r="J889" i="148" s="1"/>
  <c r="G893" i="148"/>
  <c r="J893" i="148" s="1"/>
  <c r="G795" i="148"/>
  <c r="J811" i="148"/>
  <c r="G883" i="148"/>
  <c r="J883" i="148" s="1"/>
  <c r="G779" i="148"/>
  <c r="G747" i="148"/>
  <c r="J747" i="148" s="1"/>
  <c r="G851" i="148"/>
  <c r="J851" i="148" s="1"/>
  <c r="G782" i="148"/>
  <c r="J782" i="148" s="1"/>
  <c r="G864" i="148"/>
  <c r="J864" i="148" s="1"/>
  <c r="G760" i="148"/>
  <c r="J760" i="148" s="1"/>
  <c r="G886" i="148"/>
  <c r="J886" i="148" s="1"/>
  <c r="G857" i="148"/>
  <c r="G753" i="148"/>
  <c r="J753" i="148" s="1"/>
  <c r="G213" i="148"/>
  <c r="J213" i="148" s="1"/>
  <c r="G911" i="148"/>
  <c r="J911" i="148" s="1"/>
  <c r="G813" i="148"/>
  <c r="J813" i="148" s="1"/>
  <c r="G724" i="148"/>
  <c r="J724" i="148" s="1"/>
  <c r="G793" i="148"/>
  <c r="G775" i="148"/>
  <c r="J775" i="148" s="1"/>
  <c r="G781" i="148"/>
  <c r="J781" i="148" s="1"/>
  <c r="G885" i="148"/>
  <c r="J885" i="148" s="1"/>
  <c r="G879" i="148"/>
  <c r="G844" i="148"/>
  <c r="J844" i="148" s="1"/>
  <c r="G751" i="148"/>
  <c r="J751" i="148" s="1"/>
  <c r="G740" i="148"/>
  <c r="J740" i="148" s="1"/>
  <c r="G855" i="148"/>
  <c r="G922" i="148"/>
  <c r="J922" i="148" s="1"/>
  <c r="L922" i="148" s="1"/>
  <c r="G824" i="148"/>
  <c r="G743" i="148"/>
  <c r="J743" i="148" s="1"/>
  <c r="G847" i="148"/>
  <c r="J847" i="148" s="1"/>
  <c r="G771" i="148"/>
  <c r="J771" i="148" s="1"/>
  <c r="G875" i="148"/>
  <c r="J875" i="148" s="1"/>
  <c r="G745" i="148"/>
  <c r="J745" i="148" s="1"/>
  <c r="G849" i="148"/>
  <c r="J849" i="148" s="1"/>
  <c r="G348" i="148"/>
  <c r="J348" i="148" s="1"/>
  <c r="G754" i="148"/>
  <c r="J754" i="148" s="1"/>
  <c r="G858" i="148"/>
  <c r="J858" i="148" s="1"/>
  <c r="G744" i="148"/>
  <c r="J744" i="148" s="1"/>
  <c r="G848" i="148"/>
  <c r="J848" i="148" s="1"/>
  <c r="G877" i="148"/>
  <c r="J877" i="148" s="1"/>
  <c r="G773" i="148"/>
  <c r="J773" i="148" s="1"/>
  <c r="G722" i="148"/>
  <c r="G791" i="148"/>
  <c r="G762" i="148"/>
  <c r="J762" i="148" s="1"/>
  <c r="G866" i="148"/>
  <c r="J866" i="148" s="1"/>
  <c r="G767" i="148"/>
  <c r="G871" i="148"/>
  <c r="G827" i="148"/>
  <c r="J827" i="148" s="1"/>
  <c r="G780" i="148"/>
  <c r="J780" i="148" s="1"/>
  <c r="G854" i="148"/>
  <c r="G825" i="148"/>
  <c r="J825" i="148" s="1"/>
  <c r="G750" i="148"/>
  <c r="J750" i="148" s="1"/>
  <c r="G774" i="148"/>
  <c r="J774" i="148" s="1"/>
  <c r="G884" i="148"/>
  <c r="G878" i="148"/>
  <c r="G850" i="148"/>
  <c r="J850" i="148" s="1"/>
  <c r="G746" i="148"/>
  <c r="J746" i="148" s="1"/>
  <c r="G942" i="148"/>
  <c r="J942" i="148" s="1"/>
  <c r="G800" i="148"/>
  <c r="G898" i="148"/>
  <c r="G819" i="148"/>
  <c r="G802" i="148"/>
  <c r="G766" i="148"/>
  <c r="J766" i="148" s="1"/>
  <c r="G870" i="148"/>
  <c r="J870" i="148" s="1"/>
  <c r="G863" i="148"/>
  <c r="J863" i="148" s="1"/>
  <c r="G759" i="148"/>
  <c r="J759" i="148" s="1"/>
  <c r="G926" i="148"/>
  <c r="J926" i="148" s="1"/>
  <c r="G828" i="148"/>
  <c r="J828" i="148" s="1"/>
  <c r="G741" i="148"/>
  <c r="J741" i="148" s="1"/>
  <c r="G876" i="148"/>
  <c r="J876" i="148" s="1"/>
  <c r="G845" i="148"/>
  <c r="G772" i="148"/>
  <c r="J772" i="148" s="1"/>
  <c r="G210" i="148"/>
  <c r="J210" i="148" s="1"/>
  <c r="G903" i="148"/>
  <c r="G805" i="148"/>
  <c r="J796" i="148"/>
  <c r="G721" i="148"/>
  <c r="J721" i="148" s="1"/>
  <c r="G790" i="148"/>
  <c r="G817" i="148"/>
  <c r="G915" i="148"/>
  <c r="J915" i="148" s="1"/>
  <c r="G708" i="148"/>
  <c r="J708" i="148" s="1"/>
  <c r="G888" i="148"/>
  <c r="G784" i="148"/>
  <c r="J784" i="148" s="1"/>
  <c r="G405" i="148"/>
  <c r="G786" i="148"/>
  <c r="J786" i="148" s="1"/>
  <c r="G890" i="148"/>
  <c r="G723" i="148"/>
  <c r="J723" i="148" s="1"/>
  <c r="G792" i="148"/>
  <c r="J799" i="148"/>
  <c r="G776" i="148"/>
  <c r="J776" i="148" s="1"/>
  <c r="G880" i="148"/>
  <c r="J880" i="148" s="1"/>
  <c r="G832" i="148"/>
  <c r="J832" i="148" s="1"/>
  <c r="G686" i="148"/>
  <c r="J686" i="148" s="1"/>
  <c r="G930" i="148"/>
  <c r="J930" i="148" s="1"/>
  <c r="F769" i="148"/>
  <c r="F873" i="148"/>
  <c r="F843" i="148"/>
  <c r="F739" i="148"/>
  <c r="F384" i="148"/>
  <c r="F765" i="148"/>
  <c r="F869" i="148"/>
  <c r="F834" i="148"/>
  <c r="F932" i="148"/>
  <c r="I932" i="148" s="1"/>
  <c r="F787" i="148"/>
  <c r="F891" i="148"/>
  <c r="G925" i="148"/>
  <c r="J925" i="148" s="1"/>
  <c r="G923" i="148"/>
  <c r="J923" i="148" s="1"/>
  <c r="G222" i="148"/>
  <c r="G900" i="148"/>
  <c r="G917" i="148"/>
  <c r="J917" i="148" s="1"/>
  <c r="J722" i="148"/>
  <c r="G894" i="148"/>
  <c r="G158" i="148"/>
  <c r="J158" i="148" s="1"/>
  <c r="G651" i="148"/>
  <c r="J651" i="148" s="1"/>
  <c r="G906" i="148"/>
  <c r="J906" i="148" s="1"/>
  <c r="G654" i="148"/>
  <c r="J654" i="148" s="1"/>
  <c r="G908" i="148"/>
  <c r="J908" i="148" s="1"/>
  <c r="G887" i="148"/>
  <c r="G896" i="148"/>
  <c r="G867" i="148"/>
  <c r="J867" i="148" s="1"/>
  <c r="G944" i="148"/>
  <c r="J944" i="148" s="1"/>
  <c r="G907" i="148"/>
  <c r="J907" i="148" s="1"/>
  <c r="G653" i="148"/>
  <c r="J653" i="148" s="1"/>
  <c r="G909" i="148"/>
  <c r="G357" i="148"/>
  <c r="J357" i="148" s="1"/>
  <c r="G706" i="148"/>
  <c r="J706" i="148" s="1"/>
  <c r="G696" i="148"/>
  <c r="J696" i="148" s="1"/>
  <c r="G365" i="148"/>
  <c r="J365" i="148" s="1"/>
  <c r="G713" i="148"/>
  <c r="J713" i="148" s="1"/>
  <c r="G699" i="148"/>
  <c r="J699" i="148" s="1"/>
  <c r="G703" i="148"/>
  <c r="J703" i="148" s="1"/>
  <c r="G395" i="148"/>
  <c r="G701" i="148"/>
  <c r="J701" i="148" s="1"/>
  <c r="G633" i="148"/>
  <c r="G398" i="148"/>
  <c r="G404" i="148"/>
  <c r="J404" i="148" s="1"/>
  <c r="G712" i="148"/>
  <c r="J712" i="148" s="1"/>
  <c r="G394" i="148"/>
  <c r="J394" i="148" s="1"/>
  <c r="G393" i="148"/>
  <c r="J393" i="148" s="1"/>
  <c r="G700" i="148"/>
  <c r="G711" i="148"/>
  <c r="J711" i="148" s="1"/>
  <c r="G702" i="148"/>
  <c r="J702" i="148" s="1"/>
  <c r="G698" i="148"/>
  <c r="J698" i="148" s="1"/>
  <c r="F407" i="148"/>
  <c r="N407" i="148" s="1"/>
  <c r="O407" i="148" s="1"/>
  <c r="G707" i="148"/>
  <c r="J707" i="148" s="1"/>
  <c r="G389" i="148"/>
  <c r="J389" i="148" s="1"/>
  <c r="G397" i="148"/>
  <c r="G715" i="148"/>
  <c r="G714" i="148"/>
  <c r="J714" i="148" s="1"/>
  <c r="G396" i="148"/>
  <c r="G438" i="148"/>
  <c r="J438" i="148" s="1"/>
  <c r="G710" i="148"/>
  <c r="J710" i="148" s="1"/>
  <c r="G392" i="148"/>
  <c r="J392" i="148" s="1"/>
  <c r="J718" i="148"/>
  <c r="G8" i="151"/>
  <c r="J660" i="148"/>
  <c r="G658" i="148"/>
  <c r="J658" i="148" s="1"/>
  <c r="J659" i="148"/>
  <c r="G9" i="151"/>
  <c r="G328" i="148"/>
  <c r="G60" i="151"/>
  <c r="G165" i="151"/>
  <c r="G166" i="151"/>
  <c r="G164" i="151"/>
  <c r="G52" i="151"/>
  <c r="G101" i="151"/>
  <c r="G151" i="151"/>
  <c r="G149" i="151"/>
  <c r="G57" i="151"/>
  <c r="G55" i="151"/>
  <c r="G92" i="151"/>
  <c r="G167" i="151"/>
  <c r="G48" i="151"/>
  <c r="G49" i="151"/>
  <c r="G22" i="151"/>
  <c r="G189" i="151"/>
  <c r="G97" i="151"/>
  <c r="G117" i="151"/>
  <c r="G841" i="148"/>
  <c r="J841" i="148" s="1"/>
  <c r="G7" i="151"/>
  <c r="G274" i="148"/>
  <c r="G165" i="148"/>
  <c r="J165" i="148" s="1"/>
  <c r="G276" i="148"/>
  <c r="G167" i="148"/>
  <c r="J167" i="148" s="1"/>
  <c r="G271" i="148"/>
  <c r="J271" i="148" s="1"/>
  <c r="G162" i="148"/>
  <c r="J162" i="148" s="1"/>
  <c r="G166" i="148"/>
  <c r="J166" i="148" s="1"/>
  <c r="G275" i="148"/>
  <c r="G272" i="148"/>
  <c r="G163" i="148"/>
  <c r="J163" i="148" s="1"/>
  <c r="G939" i="148"/>
  <c r="J939" i="148" s="1"/>
  <c r="G164" i="148"/>
  <c r="J164" i="148" s="1"/>
  <c r="G273" i="148"/>
  <c r="G860" i="148"/>
  <c r="J860" i="148" s="1"/>
  <c r="G124" i="151"/>
  <c r="J329" i="148"/>
  <c r="G350" i="148"/>
  <c r="J350" i="148" s="1"/>
  <c r="J396" i="148"/>
  <c r="J386" i="148"/>
  <c r="G385" i="148"/>
  <c r="J385" i="148" s="1"/>
  <c r="F571" i="148"/>
  <c r="I571" i="148" s="1"/>
  <c r="I385" i="148"/>
  <c r="F386" i="148"/>
  <c r="I386" i="148" s="1"/>
  <c r="J383" i="148"/>
  <c r="I384" i="148"/>
  <c r="G381" i="148"/>
  <c r="J381" i="148" s="1"/>
  <c r="G372" i="148"/>
  <c r="J372" i="148" s="1"/>
  <c r="F285" i="148"/>
  <c r="G377" i="148"/>
  <c r="J377" i="148" s="1"/>
  <c r="G152" i="148"/>
  <c r="J152" i="148" s="1"/>
  <c r="G373" i="148"/>
  <c r="J373" i="148" s="1"/>
  <c r="G382" i="148"/>
  <c r="G361" i="148"/>
  <c r="J361" i="148" s="1"/>
  <c r="G380" i="148"/>
  <c r="J380" i="148" s="1"/>
  <c r="G371" i="148"/>
  <c r="J371" i="148" s="1"/>
  <c r="G93" i="151"/>
  <c r="G415" i="148"/>
  <c r="G399" i="148"/>
  <c r="G414" i="148"/>
  <c r="G717" i="148"/>
  <c r="J717" i="148" s="1"/>
  <c r="G327" i="148"/>
  <c r="J327" i="148" s="1"/>
  <c r="G284" i="148"/>
  <c r="J284" i="148" s="1"/>
  <c r="G20" i="151"/>
  <c r="G108" i="151"/>
  <c r="G142" i="151"/>
  <c r="G168" i="151"/>
  <c r="G13" i="151"/>
  <c r="G12" i="151"/>
  <c r="G147" i="151"/>
  <c r="G123" i="151"/>
  <c r="G28" i="151"/>
  <c r="G128" i="151"/>
  <c r="G727" i="148"/>
  <c r="G324" i="148"/>
  <c r="J324" i="148" s="1"/>
  <c r="G661" i="148"/>
  <c r="J661" i="148" s="1"/>
  <c r="F705" i="148"/>
  <c r="F375" i="148"/>
  <c r="I375" i="148" s="1"/>
  <c r="G113" i="148"/>
  <c r="J113" i="148" s="1"/>
  <c r="G697" i="148"/>
  <c r="J697" i="148" s="1"/>
  <c r="G704" i="148"/>
  <c r="J704" i="148" s="1"/>
  <c r="G683" i="148"/>
  <c r="J683" i="148" s="1"/>
  <c r="G354" i="148"/>
  <c r="J354" i="148" s="1"/>
  <c r="G338" i="148"/>
  <c r="J338" i="148" s="1"/>
  <c r="J356" i="148"/>
  <c r="L356" i="148" s="1"/>
  <c r="N356" i="148"/>
  <c r="O356" i="148" s="1"/>
  <c r="G439" i="148"/>
  <c r="J439" i="148" s="1"/>
  <c r="G548" i="148"/>
  <c r="J548" i="148" s="1"/>
  <c r="G363" i="148"/>
  <c r="J363" i="148" s="1"/>
  <c r="G369" i="148"/>
  <c r="J369" i="148" s="1"/>
  <c r="G353" i="148"/>
  <c r="J353" i="148" s="1"/>
  <c r="G436" i="148"/>
  <c r="J436" i="148" s="1"/>
  <c r="J347" i="148"/>
  <c r="G358" i="148"/>
  <c r="J358" i="148" s="1"/>
  <c r="G204" i="148"/>
  <c r="J204" i="148" s="1"/>
  <c r="G360" i="148"/>
  <c r="G897" i="148"/>
  <c r="J897" i="148" s="1"/>
  <c r="F338" i="148"/>
  <c r="I338" i="148" s="1"/>
  <c r="F354" i="148"/>
  <c r="F359" i="148"/>
  <c r="F346" i="148"/>
  <c r="I346" i="148" s="1"/>
  <c r="G390" i="148"/>
  <c r="J390" i="148" s="1"/>
  <c r="G410" i="148"/>
  <c r="G412" i="148"/>
  <c r="J412" i="148" s="1"/>
  <c r="G391" i="148"/>
  <c r="J391" i="148" s="1"/>
  <c r="G188" i="151"/>
  <c r="G106" i="148"/>
  <c r="J106" i="148" s="1"/>
  <c r="G413" i="148"/>
  <c r="J413" i="148" s="1"/>
  <c r="G104" i="148"/>
  <c r="J104" i="148" s="1"/>
  <c r="G411" i="148"/>
  <c r="J411" i="148" s="1"/>
  <c r="G109" i="151"/>
  <c r="G95" i="148"/>
  <c r="J95" i="148" s="1"/>
  <c r="G118" i="151"/>
  <c r="G162" i="151"/>
  <c r="G38" i="151"/>
  <c r="J549" i="148"/>
  <c r="G208" i="148"/>
  <c r="J208" i="148" s="1"/>
  <c r="G433" i="148"/>
  <c r="J433" i="148" s="1"/>
  <c r="I556" i="148"/>
  <c r="L556" i="148" s="1"/>
  <c r="N556" i="148"/>
  <c r="O556" i="148" s="1"/>
  <c r="G250" i="148"/>
  <c r="G258" i="148"/>
  <c r="G725" i="148"/>
  <c r="J725" i="148" s="1"/>
  <c r="L725" i="148" s="1"/>
  <c r="G90" i="151"/>
  <c r="J903" i="148"/>
  <c r="F549" i="148"/>
  <c r="I549" i="148" s="1"/>
  <c r="G160" i="148"/>
  <c r="J160" i="148" s="1"/>
  <c r="J845" i="148"/>
  <c r="G73" i="151"/>
  <c r="G569" i="148"/>
  <c r="J569" i="148" s="1"/>
  <c r="L569" i="148" s="1"/>
  <c r="G547" i="148"/>
  <c r="N547" i="148" s="1"/>
  <c r="G630" i="148"/>
  <c r="G513" i="148"/>
  <c r="J513" i="148" s="1"/>
  <c r="G506" i="148"/>
  <c r="G434" i="148"/>
  <c r="J434" i="148" s="1"/>
  <c r="G512" i="148"/>
  <c r="J512" i="148" s="1"/>
  <c r="G629" i="148"/>
  <c r="J629" i="148" s="1"/>
  <c r="G570" i="148"/>
  <c r="J570" i="148" s="1"/>
  <c r="G628" i="148"/>
  <c r="J628" i="148" s="1"/>
  <c r="G511" i="148"/>
  <c r="J511" i="148" s="1"/>
  <c r="G35" i="148"/>
  <c r="N35" i="148" s="1"/>
  <c r="O35" i="148" s="1"/>
  <c r="G627" i="148"/>
  <c r="J627" i="148" s="1"/>
  <c r="G510" i="148"/>
  <c r="J510" i="148" s="1"/>
  <c r="G624" i="148"/>
  <c r="J624" i="148" s="1"/>
  <c r="G505" i="148"/>
  <c r="J505" i="148" s="1"/>
  <c r="G508" i="148"/>
  <c r="J508" i="148" s="1"/>
  <c r="G625" i="148"/>
  <c r="J625" i="148" s="1"/>
  <c r="G178" i="148"/>
  <c r="J178" i="148" s="1"/>
  <c r="G507" i="148"/>
  <c r="J507" i="148" s="1"/>
  <c r="G682" i="148"/>
  <c r="J682" i="148" s="1"/>
  <c r="G290" i="148"/>
  <c r="J290" i="148" s="1"/>
  <c r="G626" i="148"/>
  <c r="J626" i="148" s="1"/>
  <c r="G509" i="148"/>
  <c r="J509" i="148" s="1"/>
  <c r="G302" i="148"/>
  <c r="J302" i="148" s="1"/>
  <c r="G291" i="148"/>
  <c r="J291" i="148" s="1"/>
  <c r="G303" i="148"/>
  <c r="J303" i="148" s="1"/>
  <c r="G295" i="148"/>
  <c r="J295" i="148" s="1"/>
  <c r="G85" i="151"/>
  <c r="F544" i="148"/>
  <c r="G21" i="148"/>
  <c r="J21" i="148" s="1"/>
  <c r="G82" i="148"/>
  <c r="J82" i="148" s="1"/>
  <c r="F542" i="148"/>
  <c r="G543" i="148"/>
  <c r="J543" i="148" s="1"/>
  <c r="G133" i="148"/>
  <c r="J133" i="148" s="1"/>
  <c r="I305" i="148"/>
  <c r="G251" i="148"/>
  <c r="J251" i="148" s="1"/>
  <c r="G305" i="148"/>
  <c r="J305" i="148" s="1"/>
  <c r="G545" i="148"/>
  <c r="J545" i="148" s="1"/>
  <c r="J544" i="148"/>
  <c r="F545" i="148"/>
  <c r="G21" i="151"/>
  <c r="J898" i="148"/>
  <c r="G71" i="148"/>
  <c r="J71" i="148" s="1"/>
  <c r="G262" i="148"/>
  <c r="J262" i="148" s="1"/>
  <c r="J843" i="148"/>
  <c r="G180" i="148"/>
  <c r="J180" i="148" s="1"/>
  <c r="K531" i="148"/>
  <c r="J531" i="148"/>
  <c r="J146" i="148"/>
  <c r="K146" i="148"/>
  <c r="G169" i="148"/>
  <c r="J169" i="148" s="1"/>
  <c r="G145" i="148"/>
  <c r="J145" i="148" s="1"/>
  <c r="G563" i="148"/>
  <c r="J563" i="148" s="1"/>
  <c r="G116" i="148"/>
  <c r="J116" i="148" s="1"/>
  <c r="J222" i="148"/>
  <c r="N237" i="148"/>
  <c r="O237" i="148" s="1"/>
  <c r="J237" i="148"/>
  <c r="L237" i="148" s="1"/>
  <c r="G572" i="148"/>
  <c r="J572" i="148" s="1"/>
  <c r="G554" i="148"/>
  <c r="J554" i="148" s="1"/>
  <c r="G561" i="148"/>
  <c r="J561" i="148" s="1"/>
  <c r="G571" i="148"/>
  <c r="J571" i="148" s="1"/>
  <c r="G553" i="148"/>
  <c r="J553" i="148" s="1"/>
  <c r="G566" i="148"/>
  <c r="J566" i="148" s="1"/>
  <c r="G301" i="148"/>
  <c r="J301" i="148" s="1"/>
  <c r="G560" i="148"/>
  <c r="J560" i="148" s="1"/>
  <c r="G232" i="148"/>
  <c r="J232" i="148" s="1"/>
  <c r="G606" i="148"/>
  <c r="J606" i="148" s="1"/>
  <c r="F243" i="148"/>
  <c r="L428" i="148"/>
  <c r="G123" i="148"/>
  <c r="J123" i="148" s="1"/>
  <c r="G91" i="148"/>
  <c r="J91" i="148" s="1"/>
  <c r="G128" i="148"/>
  <c r="J128" i="148" s="1"/>
  <c r="G96" i="148"/>
  <c r="J96" i="148" s="1"/>
  <c r="G472" i="148"/>
  <c r="J472" i="148" s="1"/>
  <c r="G605" i="148"/>
  <c r="J605" i="148" s="1"/>
  <c r="G604" i="148"/>
  <c r="J604" i="148" s="1"/>
  <c r="G471" i="148"/>
  <c r="J471" i="148" s="1"/>
  <c r="G478" i="148"/>
  <c r="J478" i="148" s="1"/>
  <c r="G611" i="148"/>
  <c r="G581" i="148"/>
  <c r="G447" i="148"/>
  <c r="J447" i="148" s="1"/>
  <c r="G296" i="148"/>
  <c r="J296" i="148" s="1"/>
  <c r="G480" i="148"/>
  <c r="J480" i="148" s="1"/>
  <c r="G613" i="148"/>
  <c r="J613" i="148" s="1"/>
  <c r="G446" i="148"/>
  <c r="J446" i="148" s="1"/>
  <c r="G580" i="148"/>
  <c r="J580" i="148" s="1"/>
  <c r="G491" i="148"/>
  <c r="J491" i="148" s="1"/>
  <c r="G485" i="148"/>
  <c r="J485" i="148" s="1"/>
  <c r="G468" i="148"/>
  <c r="J468" i="148" s="1"/>
  <c r="G632" i="148"/>
  <c r="G621" i="148"/>
  <c r="G460" i="148"/>
  <c r="J460" i="148" s="1"/>
  <c r="G601" i="148"/>
  <c r="G498" i="148"/>
  <c r="G594" i="148"/>
  <c r="G477" i="148"/>
  <c r="J477" i="148" s="1"/>
  <c r="G610" i="148"/>
  <c r="J610" i="148" s="1"/>
  <c r="G445" i="148"/>
  <c r="J445" i="148" s="1"/>
  <c r="G579" i="148"/>
  <c r="J579" i="148" s="1"/>
  <c r="G496" i="148"/>
  <c r="J496" i="148" s="1"/>
  <c r="G458" i="148"/>
  <c r="J458" i="148" s="1"/>
  <c r="G592" i="148"/>
  <c r="J592" i="148" s="1"/>
  <c r="G599" i="148"/>
  <c r="J599" i="148" s="1"/>
  <c r="G474" i="148"/>
  <c r="J474" i="148" s="1"/>
  <c r="G607" i="148"/>
  <c r="J607" i="148" s="1"/>
  <c r="G456" i="148"/>
  <c r="J456" i="148" s="1"/>
  <c r="G590" i="148"/>
  <c r="J590" i="148" s="1"/>
  <c r="G443" i="148"/>
  <c r="J443" i="148" s="1"/>
  <c r="G577" i="148"/>
  <c r="J577" i="148" s="1"/>
  <c r="G523" i="148"/>
  <c r="J523" i="148" s="1"/>
  <c r="G488" i="148"/>
  <c r="J488" i="148" s="1"/>
  <c r="G618" i="148"/>
  <c r="J618" i="148" s="1"/>
  <c r="G479" i="148"/>
  <c r="J479" i="148" s="1"/>
  <c r="G608" i="148"/>
  <c r="J608" i="148" s="1"/>
  <c r="G475" i="148"/>
  <c r="J475" i="148" s="1"/>
  <c r="G612" i="148"/>
  <c r="J612" i="148" s="1"/>
  <c r="F499" i="148"/>
  <c r="F602" i="148"/>
  <c r="I602" i="148" s="1"/>
  <c r="G135" i="148"/>
  <c r="J135" i="148" s="1"/>
  <c r="G457" i="148"/>
  <c r="J457" i="148" s="1"/>
  <c r="G444" i="148"/>
  <c r="J444" i="148" s="1"/>
  <c r="G578" i="148"/>
  <c r="J578" i="148" s="1"/>
  <c r="G591" i="148"/>
  <c r="J591" i="148" s="1"/>
  <c r="G495" i="148"/>
  <c r="G598" i="148"/>
  <c r="J598" i="148" s="1"/>
  <c r="F465" i="148"/>
  <c r="I465" i="148" s="1"/>
  <c r="F643" i="148"/>
  <c r="G494" i="148"/>
  <c r="J494" i="148" s="1"/>
  <c r="G597" i="148"/>
  <c r="J597" i="148" s="1"/>
  <c r="G449" i="148"/>
  <c r="G583" i="148"/>
  <c r="G217" i="148"/>
  <c r="G486" i="148"/>
  <c r="J486" i="148" s="1"/>
  <c r="G492" i="148"/>
  <c r="G462" i="148"/>
  <c r="J462" i="148" s="1"/>
  <c r="G622" i="148"/>
  <c r="G596" i="148"/>
  <c r="G497" i="148"/>
  <c r="G600" i="148"/>
  <c r="J600" i="148" s="1"/>
  <c r="G465" i="148"/>
  <c r="J465" i="148" s="1"/>
  <c r="G643" i="148"/>
  <c r="J643" i="148" s="1"/>
  <c r="G489" i="148"/>
  <c r="J489" i="148" s="1"/>
  <c r="G476" i="148"/>
  <c r="J476" i="148" s="1"/>
  <c r="G619" i="148"/>
  <c r="J619" i="148" s="1"/>
  <c r="G609" i="148"/>
  <c r="J609" i="148" s="1"/>
  <c r="G442" i="148"/>
  <c r="J442" i="148" s="1"/>
  <c r="G576" i="148"/>
  <c r="J576" i="148" s="1"/>
  <c r="G455" i="148"/>
  <c r="J455" i="148" s="1"/>
  <c r="G589" i="148"/>
  <c r="J589" i="148" s="1"/>
  <c r="G37" i="148"/>
  <c r="G484" i="148"/>
  <c r="J484" i="148" s="1"/>
  <c r="G452" i="148"/>
  <c r="J452" i="148" s="1"/>
  <c r="G586" i="148"/>
  <c r="J586" i="148" s="1"/>
  <c r="G453" i="148"/>
  <c r="G587" i="148"/>
  <c r="J587" i="148" s="1"/>
  <c r="G461" i="148"/>
  <c r="G595" i="148"/>
  <c r="J595" i="148" s="1"/>
  <c r="L595" i="148" s="1"/>
  <c r="G634" i="148"/>
  <c r="J634" i="148" s="1"/>
  <c r="G490" i="148"/>
  <c r="J490" i="148" s="1"/>
  <c r="G469" i="148"/>
  <c r="J469" i="148" s="1"/>
  <c r="G482" i="148"/>
  <c r="J482" i="148" s="1"/>
  <c r="G615" i="148"/>
  <c r="J615" i="148" s="1"/>
  <c r="G459" i="148"/>
  <c r="J459" i="148" s="1"/>
  <c r="G593" i="148"/>
  <c r="J593" i="148" s="1"/>
  <c r="G620" i="148"/>
  <c r="J620" i="148" s="1"/>
  <c r="G450" i="148"/>
  <c r="G584" i="148"/>
  <c r="G464" i="148"/>
  <c r="J464" i="148" s="1"/>
  <c r="G665" i="148"/>
  <c r="J665" i="148" s="1"/>
  <c r="G499" i="148"/>
  <c r="J499" i="148" s="1"/>
  <c r="G602" i="148"/>
  <c r="J602" i="148" s="1"/>
  <c r="G588" i="148"/>
  <c r="J588" i="148" s="1"/>
  <c r="G454" i="148"/>
  <c r="J454" i="148" s="1"/>
  <c r="G441" i="148"/>
  <c r="J441" i="148" s="1"/>
  <c r="G575" i="148"/>
  <c r="J575" i="148" s="1"/>
  <c r="G35" i="151"/>
  <c r="G17" i="151"/>
  <c r="G139" i="151"/>
  <c r="G374" i="148"/>
  <c r="J374" i="148" s="1"/>
  <c r="G111" i="151"/>
  <c r="F44" i="148"/>
  <c r="F95" i="148"/>
  <c r="I95" i="148" s="1"/>
  <c r="F127" i="148"/>
  <c r="I127" i="148" s="1"/>
  <c r="G46" i="151"/>
  <c r="G47" i="151"/>
  <c r="G50" i="151"/>
  <c r="F826" i="148"/>
  <c r="F120" i="148"/>
  <c r="F88" i="148"/>
  <c r="I88" i="148" s="1"/>
  <c r="F119" i="148"/>
  <c r="F87" i="148"/>
  <c r="I87" i="148" s="1"/>
  <c r="G119" i="148"/>
  <c r="J119" i="148" s="1"/>
  <c r="G87" i="148"/>
  <c r="J87" i="148" s="1"/>
  <c r="G118" i="148"/>
  <c r="J118" i="148" s="1"/>
  <c r="G86" i="148"/>
  <c r="J86" i="148" s="1"/>
  <c r="G148" i="151"/>
  <c r="G69" i="151"/>
  <c r="G945" i="148"/>
  <c r="J945" i="148" s="1"/>
  <c r="G130" i="148"/>
  <c r="J130" i="148" s="1"/>
  <c r="G100" i="148"/>
  <c r="J100" i="148" s="1"/>
  <c r="G120" i="148"/>
  <c r="J120" i="148" s="1"/>
  <c r="G88" i="148"/>
  <c r="J88" i="148" s="1"/>
  <c r="G122" i="148"/>
  <c r="J122" i="148" s="1"/>
  <c r="G90" i="148"/>
  <c r="J90" i="148" s="1"/>
  <c r="G93" i="148"/>
  <c r="J93" i="148" s="1"/>
  <c r="G125" i="148"/>
  <c r="J125" i="148" s="1"/>
  <c r="G129" i="148"/>
  <c r="J129" i="148" s="1"/>
  <c r="G99" i="148"/>
  <c r="J99" i="148" s="1"/>
  <c r="G640" i="148"/>
  <c r="J640" i="148" s="1"/>
  <c r="G92" i="148"/>
  <c r="J92" i="148" s="1"/>
  <c r="G191" i="151"/>
  <c r="F66" i="148"/>
  <c r="I66" i="148" s="1"/>
  <c r="F40" i="148"/>
  <c r="F43" i="148"/>
  <c r="I43" i="148" s="1"/>
  <c r="G34" i="151"/>
  <c r="F535" i="148"/>
  <c r="I535" i="148" s="1"/>
  <c r="L535" i="148" s="1"/>
  <c r="F534" i="148"/>
  <c r="I534" i="148" s="1"/>
  <c r="F216" i="148"/>
  <c r="I216" i="148" s="1"/>
  <c r="G78" i="148"/>
  <c r="J78" i="148" s="1"/>
  <c r="G306" i="148"/>
  <c r="J306" i="148" s="1"/>
  <c r="G60" i="148"/>
  <c r="J60" i="148" s="1"/>
  <c r="G29" i="148"/>
  <c r="J29" i="148" s="1"/>
  <c r="G58" i="148"/>
  <c r="J58" i="148" s="1"/>
  <c r="G27" i="148"/>
  <c r="J27" i="148" s="1"/>
  <c r="G66" i="148"/>
  <c r="J66" i="148" s="1"/>
  <c r="G47" i="148"/>
  <c r="F538" i="148"/>
  <c r="N538" i="148" s="1"/>
  <c r="F533" i="148"/>
  <c r="N533" i="148" s="1"/>
  <c r="F532" i="148"/>
  <c r="F540" i="148"/>
  <c r="N540" i="148" s="1"/>
  <c r="F539" i="148"/>
  <c r="N539" i="148" s="1"/>
  <c r="G420" i="148"/>
  <c r="F77" i="148"/>
  <c r="F251" i="148"/>
  <c r="G65" i="148"/>
  <c r="G28" i="148"/>
  <c r="J28" i="148" s="1"/>
  <c r="G59" i="148"/>
  <c r="J59" i="148" s="1"/>
  <c r="G19" i="148"/>
  <c r="J19" i="148" s="1"/>
  <c r="F52" i="148"/>
  <c r="I52" i="148" s="1"/>
  <c r="G526" i="148"/>
  <c r="G430" i="148"/>
  <c r="J430" i="148" s="1"/>
  <c r="G408" i="148"/>
  <c r="G954" i="148"/>
  <c r="G216" i="148"/>
  <c r="G22" i="148"/>
  <c r="J22" i="148" s="1"/>
  <c r="G56" i="148"/>
  <c r="G161" i="148"/>
  <c r="G159" i="148"/>
  <c r="G955" i="148"/>
  <c r="G44" i="148"/>
  <c r="G50" i="148"/>
  <c r="G72" i="148"/>
  <c r="J72" i="148" s="1"/>
  <c r="F531" i="148"/>
  <c r="F537" i="148"/>
  <c r="N537" i="148" s="1"/>
  <c r="F64" i="148"/>
  <c r="F536" i="148"/>
  <c r="G419" i="148"/>
  <c r="G403" i="148"/>
  <c r="G337" i="148"/>
  <c r="J337" i="148" s="1"/>
  <c r="G293" i="148"/>
  <c r="G52" i="148"/>
  <c r="G79" i="148"/>
  <c r="G67" i="148"/>
  <c r="J67" i="148" s="1"/>
  <c r="G61" i="148"/>
  <c r="J61" i="148" s="1"/>
  <c r="G30" i="148"/>
  <c r="J30" i="148" s="1"/>
  <c r="G312" i="148"/>
  <c r="J312" i="148" s="1"/>
  <c r="G335" i="148"/>
  <c r="J335" i="148" s="1"/>
  <c r="G431" i="148"/>
  <c r="J431" i="148" s="1"/>
  <c r="F555" i="148"/>
  <c r="G219" i="148"/>
  <c r="J219" i="148" s="1"/>
  <c r="G235" i="148"/>
  <c r="J235" i="148" s="1"/>
  <c r="G292" i="148"/>
  <c r="N292" i="148" s="1"/>
  <c r="J395" i="148"/>
  <c r="G693" i="148"/>
  <c r="J693" i="148" s="1"/>
  <c r="G155" i="151"/>
  <c r="G220" i="148"/>
  <c r="J220" i="148" s="1"/>
  <c r="G171" i="148"/>
  <c r="J171" i="148" s="1"/>
  <c r="G234" i="148"/>
  <c r="J234" i="148" s="1"/>
  <c r="G173" i="148"/>
  <c r="J173" i="148" s="1"/>
  <c r="G172" i="148"/>
  <c r="J172" i="148" s="1"/>
  <c r="G231" i="148"/>
  <c r="J231" i="148" s="1"/>
  <c r="J879" i="148"/>
  <c r="G503" i="148"/>
  <c r="J503" i="148" s="1"/>
  <c r="J630" i="148"/>
  <c r="G241" i="148"/>
  <c r="J241" i="148" s="1"/>
  <c r="G518" i="148"/>
  <c r="J518" i="148" s="1"/>
  <c r="G177" i="148"/>
  <c r="J177" i="148" s="1"/>
  <c r="G218" i="148"/>
  <c r="J218" i="148" s="1"/>
  <c r="G517" i="148"/>
  <c r="G240" i="148"/>
  <c r="G207" i="148"/>
  <c r="J207" i="148" s="1"/>
  <c r="G246" i="148"/>
  <c r="J246" i="148" s="1"/>
  <c r="G524" i="148"/>
  <c r="J524" i="148" s="1"/>
  <c r="F198" i="148"/>
  <c r="I198" i="148" s="1"/>
  <c r="F226" i="148"/>
  <c r="I226" i="148" s="1"/>
  <c r="G521" i="148"/>
  <c r="J521" i="148" s="1"/>
  <c r="G244" i="148"/>
  <c r="J244" i="148" s="1"/>
  <c r="G198" i="148"/>
  <c r="J198" i="148" s="1"/>
  <c r="G226" i="148"/>
  <c r="G243" i="148"/>
  <c r="J243" i="148" s="1"/>
  <c r="G520" i="148"/>
  <c r="J520" i="148" s="1"/>
  <c r="G519" i="148"/>
  <c r="J519" i="148" s="1"/>
  <c r="G242" i="148"/>
  <c r="J242" i="148" s="1"/>
  <c r="G199" i="148"/>
  <c r="J199" i="148" s="1"/>
  <c r="G227" i="148"/>
  <c r="J227" i="148" s="1"/>
  <c r="G259" i="148"/>
  <c r="J259" i="148" s="1"/>
  <c r="G205" i="148"/>
  <c r="J854" i="148"/>
  <c r="G249" i="148"/>
  <c r="J249" i="148" s="1"/>
  <c r="G108" i="148"/>
  <c r="J108" i="148" s="1"/>
  <c r="G147" i="148"/>
  <c r="J147" i="148" s="1"/>
  <c r="G105" i="148"/>
  <c r="J105" i="148" s="1"/>
  <c r="G110" i="151"/>
  <c r="G137" i="148"/>
  <c r="J137" i="148" s="1"/>
  <c r="G15" i="148"/>
  <c r="J15" i="148" s="1"/>
  <c r="G45" i="148"/>
  <c r="J45" i="148" s="1"/>
  <c r="I319" i="148"/>
  <c r="J319" i="148"/>
  <c r="G349" i="148"/>
  <c r="J349" i="148" s="1"/>
  <c r="G304" i="148"/>
  <c r="J304" i="148" s="1"/>
  <c r="G255" i="148"/>
  <c r="J255" i="148" s="1"/>
  <c r="J700" i="148"/>
  <c r="G667" i="148"/>
  <c r="J667" i="148" s="1"/>
  <c r="G642" i="148"/>
  <c r="J642" i="148" s="1"/>
  <c r="G424" i="148"/>
  <c r="J424" i="148" s="1"/>
  <c r="J400" i="148"/>
  <c r="G641" i="148"/>
  <c r="J641" i="148" s="1"/>
  <c r="G663" i="148"/>
  <c r="J663" i="148" s="1"/>
  <c r="J215" i="148"/>
  <c r="F107" i="148"/>
  <c r="N107" i="148" s="1"/>
  <c r="G529" i="148"/>
  <c r="G953" i="148"/>
  <c r="J890" i="148"/>
  <c r="J405" i="148"/>
  <c r="G368" i="148"/>
  <c r="J368" i="148" s="1"/>
  <c r="G111" i="148"/>
  <c r="N111" i="148" s="1"/>
  <c r="G949" i="148"/>
  <c r="J333" i="148"/>
  <c r="G70" i="148"/>
  <c r="J70" i="148" s="1"/>
  <c r="G159" i="151"/>
  <c r="G691" i="148"/>
  <c r="J691" i="148" s="1"/>
  <c r="G688" i="148"/>
  <c r="J688" i="148" s="1"/>
  <c r="J888" i="148"/>
  <c r="J410" i="148"/>
  <c r="G668" i="148"/>
  <c r="J668" i="148" s="1"/>
  <c r="J855" i="148"/>
  <c r="G103" i="148"/>
  <c r="J103" i="148" s="1"/>
  <c r="G151" i="148"/>
  <c r="J151" i="148" s="1"/>
  <c r="G690" i="148"/>
  <c r="J690" i="148" s="1"/>
  <c r="G34" i="148"/>
  <c r="J34" i="148" s="1"/>
  <c r="G155" i="148"/>
  <c r="J155" i="148" s="1"/>
  <c r="G680" i="148"/>
  <c r="J680" i="148" s="1"/>
  <c r="J878" i="148"/>
  <c r="J884" i="148"/>
  <c r="G102" i="148"/>
  <c r="J102" i="148" s="1"/>
  <c r="G98" i="148"/>
  <c r="J98" i="148" s="1"/>
  <c r="J633" i="148"/>
  <c r="L633" i="148" s="1"/>
  <c r="J914" i="148"/>
  <c r="G136" i="148"/>
  <c r="J136" i="148" s="1"/>
  <c r="G17" i="148"/>
  <c r="J17" i="148" s="1"/>
  <c r="G51" i="148"/>
  <c r="J51" i="148" s="1"/>
  <c r="G20" i="148"/>
  <c r="J20" i="148" s="1"/>
  <c r="G53" i="148"/>
  <c r="J53" i="148" s="1"/>
  <c r="G141" i="148"/>
  <c r="J141" i="148" s="1"/>
  <c r="J398" i="148"/>
  <c r="L398" i="148" s="1"/>
  <c r="G946" i="148"/>
  <c r="J946" i="148" s="1"/>
  <c r="J857" i="148"/>
  <c r="G656" i="148"/>
  <c r="J656" i="148" s="1"/>
  <c r="J687" i="148"/>
  <c r="G134" i="148"/>
  <c r="J134" i="148" s="1"/>
  <c r="G342" i="148"/>
  <c r="J342" i="148" s="1"/>
  <c r="J862" i="148"/>
  <c r="G179" i="148"/>
  <c r="J179" i="148" s="1"/>
  <c r="G176" i="148"/>
  <c r="J176" i="148" s="1"/>
  <c r="F72" i="148"/>
  <c r="I72" i="148" s="1"/>
  <c r="I636" i="148"/>
  <c r="F82" i="148"/>
  <c r="F21" i="148"/>
  <c r="F54" i="148"/>
  <c r="I638" i="148"/>
  <c r="I637" i="148"/>
  <c r="I292" i="148"/>
  <c r="G673" i="148"/>
  <c r="J673" i="148" s="1"/>
  <c r="G679" i="148"/>
  <c r="J679" i="148" s="1"/>
  <c r="G647" i="148"/>
  <c r="J647" i="148" s="1"/>
  <c r="G646" i="148"/>
  <c r="J646" i="148" s="1"/>
  <c r="G672" i="148"/>
  <c r="J672" i="148" s="1"/>
  <c r="G671" i="148"/>
  <c r="J671" i="148" s="1"/>
  <c r="G645" i="148"/>
  <c r="J645" i="148" s="1"/>
  <c r="F667" i="148"/>
  <c r="F642" i="148"/>
  <c r="F668" i="148"/>
  <c r="F543" i="148"/>
  <c r="G152" i="151"/>
  <c r="G110" i="148"/>
  <c r="J110" i="148" s="1"/>
  <c r="J397" i="148"/>
  <c r="F719" i="148"/>
  <c r="G73" i="148"/>
  <c r="G176" i="151"/>
  <c r="G121" i="151"/>
  <c r="G33" i="151"/>
  <c r="G951" i="148"/>
  <c r="J951" i="148" s="1"/>
  <c r="G664" i="148"/>
  <c r="J664" i="148" s="1"/>
  <c r="G639" i="148"/>
  <c r="J639" i="148" s="1"/>
  <c r="I635" i="148"/>
  <c r="F417" i="148"/>
  <c r="I545" i="148"/>
  <c r="I418" i="148"/>
  <c r="F304" i="148"/>
  <c r="F562" i="148"/>
  <c r="I562" i="148" s="1"/>
  <c r="G500" i="148"/>
  <c r="J500" i="148" s="1"/>
  <c r="G32" i="148"/>
  <c r="J32" i="148" s="1"/>
  <c r="G18" i="151"/>
  <c r="G46" i="148"/>
  <c r="J46" i="148" s="1"/>
  <c r="G16" i="148"/>
  <c r="J16" i="148" s="1"/>
  <c r="G16" i="151"/>
  <c r="G82" i="151"/>
  <c r="I955" i="148"/>
  <c r="F956" i="148"/>
  <c r="G32" i="151"/>
  <c r="J940" i="148"/>
  <c r="G252" i="148"/>
  <c r="G297" i="148"/>
  <c r="G69" i="148"/>
  <c r="J69" i="148" s="1"/>
  <c r="G950" i="148"/>
  <c r="G726" i="148"/>
  <c r="G114" i="148"/>
  <c r="J114" i="148" s="1"/>
  <c r="G112" i="148"/>
  <c r="J112" i="148" s="1"/>
  <c r="J399" i="148"/>
  <c r="F83" i="148"/>
  <c r="G30" i="151"/>
  <c r="G29" i="151"/>
  <c r="F19" i="148"/>
  <c r="G11" i="151"/>
  <c r="G24" i="151"/>
  <c r="G530" i="148"/>
  <c r="J530" i="148" s="1"/>
  <c r="G427" i="148"/>
  <c r="J611" i="148"/>
  <c r="J402" i="148"/>
  <c r="G426" i="148"/>
  <c r="J426" i="148" s="1"/>
  <c r="J581" i="148"/>
  <c r="G502" i="148"/>
  <c r="J502" i="148" s="1"/>
  <c r="F559" i="148"/>
  <c r="G692" i="148"/>
  <c r="J692" i="148" s="1"/>
  <c r="G425" i="148"/>
  <c r="J425" i="148" s="1"/>
  <c r="G501" i="148"/>
  <c r="J501" i="148" s="1"/>
  <c r="J401" i="148"/>
  <c r="G33" i="148"/>
  <c r="J33" i="148" s="1"/>
  <c r="F75" i="148"/>
  <c r="F67" i="148"/>
  <c r="G175" i="151"/>
  <c r="G89" i="151"/>
  <c r="G64" i="151"/>
  <c r="G119" i="151"/>
  <c r="I334" i="148" l="1"/>
  <c r="L334" i="148" s="1"/>
  <c r="I407" i="148"/>
  <c r="L407" i="148" s="1"/>
  <c r="G669" i="148"/>
  <c r="N535" i="148"/>
  <c r="O535" i="148" s="1"/>
  <c r="J35" i="148"/>
  <c r="L35" i="148" s="1"/>
  <c r="G644" i="148"/>
  <c r="N534" i="148"/>
  <c r="O534" i="148" s="1"/>
  <c r="F519" i="148"/>
  <c r="F520" i="148"/>
  <c r="I520" i="148" s="1"/>
  <c r="F242" i="148"/>
  <c r="F553" i="148"/>
  <c r="N19" i="148"/>
  <c r="G84" i="151"/>
  <c r="G154" i="151"/>
  <c r="G170" i="151"/>
  <c r="G161" i="151"/>
  <c r="G122" i="151"/>
  <c r="G157" i="151"/>
  <c r="G96" i="151"/>
  <c r="G150" i="151"/>
  <c r="G91" i="151"/>
  <c r="G100" i="151"/>
  <c r="G130" i="151"/>
  <c r="G42" i="151"/>
  <c r="G37" i="151"/>
  <c r="G99" i="151"/>
  <c r="G23" i="151"/>
  <c r="N345" i="148"/>
  <c r="O345" i="148" s="1"/>
  <c r="I345" i="148"/>
  <c r="L345" i="148" s="1"/>
  <c r="F729" i="148"/>
  <c r="I729" i="148" s="1"/>
  <c r="F351" i="148"/>
  <c r="I351" i="148" s="1"/>
  <c r="J730" i="148"/>
  <c r="N922" i="148"/>
  <c r="O922" i="148" s="1"/>
  <c r="G807" i="148"/>
  <c r="J807" i="148" s="1"/>
  <c r="G905" i="148"/>
  <c r="J905" i="148" s="1"/>
  <c r="J792" i="148"/>
  <c r="J790" i="148"/>
  <c r="J805" i="148"/>
  <c r="J767" i="148"/>
  <c r="L767" i="148" s="1"/>
  <c r="N767" i="148"/>
  <c r="O767" i="148" s="1"/>
  <c r="J793" i="148"/>
  <c r="J789" i="148"/>
  <c r="G211" i="148"/>
  <c r="N211" i="148" s="1"/>
  <c r="O211" i="148" s="1"/>
  <c r="G806" i="148"/>
  <c r="G904" i="148"/>
  <c r="J904" i="148" s="1"/>
  <c r="L904" i="148" s="1"/>
  <c r="G895" i="148"/>
  <c r="G797" i="148"/>
  <c r="G752" i="148"/>
  <c r="J752" i="148" s="1"/>
  <c r="G856" i="148"/>
  <c r="J856" i="148" s="1"/>
  <c r="J817" i="148"/>
  <c r="J800" i="148"/>
  <c r="J815" i="148"/>
  <c r="G384" i="148"/>
  <c r="J384" i="148" s="1"/>
  <c r="L384" i="148" s="1"/>
  <c r="G869" i="148"/>
  <c r="G765" i="148"/>
  <c r="J765" i="148" s="1"/>
  <c r="G214" i="148"/>
  <c r="J214" i="148" s="1"/>
  <c r="G814" i="148"/>
  <c r="J814" i="148" s="1"/>
  <c r="G912" i="148"/>
  <c r="J912" i="148" s="1"/>
  <c r="J802" i="148"/>
  <c r="N824" i="148"/>
  <c r="O824" i="148" s="1"/>
  <c r="J824" i="148"/>
  <c r="L824" i="148" s="1"/>
  <c r="J779" i="148"/>
  <c r="J795" i="148"/>
  <c r="J783" i="148"/>
  <c r="G223" i="148"/>
  <c r="J223" i="148" s="1"/>
  <c r="G918" i="148"/>
  <c r="G820" i="148"/>
  <c r="J819" i="148"/>
  <c r="J791" i="148"/>
  <c r="J835" i="148"/>
  <c r="J798" i="148"/>
  <c r="F74" i="148"/>
  <c r="N74" i="148" s="1"/>
  <c r="O74" i="148" s="1"/>
  <c r="F872" i="148"/>
  <c r="F768" i="148"/>
  <c r="N787" i="148"/>
  <c r="O787" i="148" s="1"/>
  <c r="I787" i="148"/>
  <c r="L787" i="148" s="1"/>
  <c r="I739" i="148"/>
  <c r="L739" i="148" s="1"/>
  <c r="N739" i="148"/>
  <c r="O739" i="148" s="1"/>
  <c r="F214" i="148"/>
  <c r="I214" i="148" s="1"/>
  <c r="F814" i="148"/>
  <c r="F912" i="148"/>
  <c r="I826" i="148"/>
  <c r="N765" i="148"/>
  <c r="O765" i="148" s="1"/>
  <c r="I765" i="148"/>
  <c r="I834" i="148"/>
  <c r="I769" i="148"/>
  <c r="L769" i="148" s="1"/>
  <c r="N769" i="148"/>
  <c r="O769" i="148" s="1"/>
  <c r="J900" i="148"/>
  <c r="F244" i="148"/>
  <c r="F924" i="148"/>
  <c r="G120" i="151"/>
  <c r="J887" i="148"/>
  <c r="J894" i="148"/>
  <c r="I719" i="148"/>
  <c r="J910" i="148"/>
  <c r="J909" i="148"/>
  <c r="G62" i="151"/>
  <c r="J715" i="148"/>
  <c r="F406" i="148"/>
  <c r="I406" i="148" s="1"/>
  <c r="L406" i="148" s="1"/>
  <c r="F409" i="148"/>
  <c r="A7" i="151"/>
  <c r="A8" i="151" s="1"/>
  <c r="A9" i="151" s="1"/>
  <c r="A10" i="151" s="1"/>
  <c r="A11" i="151" s="1"/>
  <c r="A12" i="151" s="1"/>
  <c r="A13" i="151" s="1"/>
  <c r="F521" i="148"/>
  <c r="I521" i="148" s="1"/>
  <c r="F271" i="148"/>
  <c r="F162" i="148"/>
  <c r="J275" i="148"/>
  <c r="J274" i="148"/>
  <c r="J273" i="148"/>
  <c r="J272" i="148"/>
  <c r="J276" i="148"/>
  <c r="J328" i="148"/>
  <c r="I532" i="148"/>
  <c r="L532" i="148" s="1"/>
  <c r="N532" i="148"/>
  <c r="O532" i="148" s="1"/>
  <c r="I536" i="148"/>
  <c r="L536" i="148" s="1"/>
  <c r="N536" i="148"/>
  <c r="I531" i="148"/>
  <c r="N531" i="148"/>
  <c r="J526" i="148"/>
  <c r="N526" i="148"/>
  <c r="I542" i="148"/>
  <c r="F332" i="148"/>
  <c r="I332" i="148" s="1"/>
  <c r="L332" i="148" s="1"/>
  <c r="J382" i="148"/>
  <c r="F379" i="148"/>
  <c r="F370" i="148"/>
  <c r="I370" i="148" s="1"/>
  <c r="L370" i="148" s="1"/>
  <c r="N285" i="148"/>
  <c r="O285" i="148" s="1"/>
  <c r="I285" i="148"/>
  <c r="L285" i="148" s="1"/>
  <c r="J414" i="148"/>
  <c r="J415" i="148"/>
  <c r="G109" i="148"/>
  <c r="J109" i="148" s="1"/>
  <c r="G728" i="148"/>
  <c r="J728" i="148" s="1"/>
  <c r="J727" i="148"/>
  <c r="G705" i="148"/>
  <c r="J705" i="148" s="1"/>
  <c r="G375" i="148"/>
  <c r="J375" i="148" s="1"/>
  <c r="L375" i="148" s="1"/>
  <c r="I705" i="148"/>
  <c r="J360" i="148"/>
  <c r="G346" i="148"/>
  <c r="J346" i="148" s="1"/>
  <c r="L346" i="148" s="1"/>
  <c r="G359" i="148"/>
  <c r="J359" i="148" s="1"/>
  <c r="I354" i="148"/>
  <c r="I359" i="148"/>
  <c r="G72" i="151"/>
  <c r="G129" i="151"/>
  <c r="G125" i="151"/>
  <c r="J293" i="148"/>
  <c r="I555" i="148"/>
  <c r="L555" i="148" s="1"/>
  <c r="N555" i="148"/>
  <c r="O555" i="148" s="1"/>
  <c r="I553" i="148"/>
  <c r="J250" i="148"/>
  <c r="G70" i="151"/>
  <c r="G137" i="151"/>
  <c r="G79" i="151"/>
  <c r="N21" i="148"/>
  <c r="O21" i="148" s="1"/>
  <c r="G134" i="151"/>
  <c r="J547" i="148"/>
  <c r="L547" i="148" s="1"/>
  <c r="O547" i="148"/>
  <c r="J506" i="148"/>
  <c r="L506" i="148" s="1"/>
  <c r="N506" i="148"/>
  <c r="O506" i="148" s="1"/>
  <c r="I544" i="148"/>
  <c r="I251" i="148"/>
  <c r="G31" i="148"/>
  <c r="J31" i="148" s="1"/>
  <c r="G62" i="148"/>
  <c r="J62" i="148" s="1"/>
  <c r="F31" i="148"/>
  <c r="F62" i="148"/>
  <c r="I537" i="148"/>
  <c r="K534" i="148"/>
  <c r="J534" i="148"/>
  <c r="G666" i="148"/>
  <c r="J666" i="148" s="1"/>
  <c r="J205" i="148"/>
  <c r="N240" i="148"/>
  <c r="O240" i="148" s="1"/>
  <c r="J240" i="148"/>
  <c r="L240" i="148" s="1"/>
  <c r="N56" i="148"/>
  <c r="O56" i="148" s="1"/>
  <c r="J56" i="148"/>
  <c r="L56" i="148" s="1"/>
  <c r="N73" i="148"/>
  <c r="O73" i="148" s="1"/>
  <c r="J73" i="148"/>
  <c r="L73" i="148" s="1"/>
  <c r="I243" i="148"/>
  <c r="I244" i="148"/>
  <c r="N79" i="148"/>
  <c r="O79" i="148" s="1"/>
  <c r="J79" i="148"/>
  <c r="L79" i="148" s="1"/>
  <c r="N50" i="148"/>
  <c r="O50" i="148" s="1"/>
  <c r="J50" i="148"/>
  <c r="L50" i="148" s="1"/>
  <c r="N65" i="148"/>
  <c r="O65" i="148" s="1"/>
  <c r="J65" i="148"/>
  <c r="L65" i="148" s="1"/>
  <c r="N47" i="148"/>
  <c r="O47" i="148" s="1"/>
  <c r="J47" i="148"/>
  <c r="L47" i="148" s="1"/>
  <c r="N67" i="148"/>
  <c r="O67" i="148" s="1"/>
  <c r="I67" i="148"/>
  <c r="L67" i="148" s="1"/>
  <c r="N75" i="148"/>
  <c r="O75" i="148" s="1"/>
  <c r="I75" i="148"/>
  <c r="L75" i="148" s="1"/>
  <c r="N64" i="148"/>
  <c r="O64" i="148" s="1"/>
  <c r="I64" i="148"/>
  <c r="L64" i="148" s="1"/>
  <c r="N54" i="148"/>
  <c r="O54" i="148" s="1"/>
  <c r="I54" i="148"/>
  <c r="L54" i="148" s="1"/>
  <c r="N82" i="148"/>
  <c r="O82" i="148" s="1"/>
  <c r="I82" i="148"/>
  <c r="L82" i="148" s="1"/>
  <c r="G568" i="148"/>
  <c r="J568" i="148" s="1"/>
  <c r="G552" i="148"/>
  <c r="N552" i="148" s="1"/>
  <c r="N72" i="148"/>
  <c r="O72" i="148" s="1"/>
  <c r="G670" i="148"/>
  <c r="J670" i="148" s="1"/>
  <c r="G236" i="148"/>
  <c r="J236" i="148" s="1"/>
  <c r="G564" i="148"/>
  <c r="J564" i="148" s="1"/>
  <c r="I559" i="148"/>
  <c r="F554" i="148"/>
  <c r="F572" i="148"/>
  <c r="I40" i="148"/>
  <c r="J37" i="148"/>
  <c r="N52" i="148"/>
  <c r="O52" i="148" s="1"/>
  <c r="L43" i="148"/>
  <c r="N43" i="148"/>
  <c r="O43" i="148" s="1"/>
  <c r="N66" i="148"/>
  <c r="O66" i="148" s="1"/>
  <c r="I44" i="148"/>
  <c r="N44" i="148"/>
  <c r="O44" i="148" s="1"/>
  <c r="G481" i="148"/>
  <c r="J481" i="148" s="1"/>
  <c r="G614" i="148"/>
  <c r="J614" i="148" s="1"/>
  <c r="F448" i="148"/>
  <c r="F582" i="148"/>
  <c r="I582" i="148" s="1"/>
  <c r="L582" i="148" s="1"/>
  <c r="J450" i="148"/>
  <c r="L450" i="148" s="1"/>
  <c r="J461" i="148"/>
  <c r="L461" i="148" s="1"/>
  <c r="J453" i="148"/>
  <c r="J497" i="148"/>
  <c r="J492" i="148"/>
  <c r="J449" i="148"/>
  <c r="I499" i="148"/>
  <c r="F494" i="148"/>
  <c r="F597" i="148"/>
  <c r="I597" i="148" s="1"/>
  <c r="J584" i="148"/>
  <c r="L584" i="148" s="1"/>
  <c r="L465" i="148"/>
  <c r="N465" i="148"/>
  <c r="O465" i="148" s="1"/>
  <c r="J495" i="148"/>
  <c r="J498" i="148"/>
  <c r="G138" i="151"/>
  <c r="F670" i="148"/>
  <c r="N670" i="148" s="1"/>
  <c r="O670" i="148" s="1"/>
  <c r="J918" i="148"/>
  <c r="F644" i="148"/>
  <c r="I644" i="148" s="1"/>
  <c r="F669" i="148"/>
  <c r="I669" i="148" s="1"/>
  <c r="F666" i="148"/>
  <c r="I666" i="148" s="1"/>
  <c r="I119" i="148"/>
  <c r="I120" i="148"/>
  <c r="G174" i="148"/>
  <c r="J174" i="148" s="1"/>
  <c r="G196" i="148"/>
  <c r="J196" i="148" s="1"/>
  <c r="J52" i="148"/>
  <c r="L52" i="148" s="1"/>
  <c r="N872" i="148"/>
  <c r="O872" i="148" s="1"/>
  <c r="G212" i="148"/>
  <c r="J212" i="148" s="1"/>
  <c r="J44" i="148"/>
  <c r="J955" i="148"/>
  <c r="L955" i="148" s="1"/>
  <c r="O536" i="148"/>
  <c r="J869" i="148"/>
  <c r="O537" i="148"/>
  <c r="J954" i="148"/>
  <c r="L954" i="148" s="1"/>
  <c r="N954" i="148"/>
  <c r="O954" i="148" s="1"/>
  <c r="L526" i="148"/>
  <c r="O533" i="148"/>
  <c r="I533" i="148"/>
  <c r="L533" i="148" s="1"/>
  <c r="O531" i="148"/>
  <c r="L531" i="148"/>
  <c r="J161" i="148"/>
  <c r="L161" i="148" s="1"/>
  <c r="N161" i="148"/>
  <c r="O161" i="148" s="1"/>
  <c r="L430" i="148"/>
  <c r="J420" i="148"/>
  <c r="L420" i="148" s="1"/>
  <c r="N420" i="148"/>
  <c r="O420" i="148" s="1"/>
  <c r="F78" i="148"/>
  <c r="I78" i="148" s="1"/>
  <c r="F306" i="148"/>
  <c r="I306" i="148" s="1"/>
  <c r="J403" i="148"/>
  <c r="L403" i="148" s="1"/>
  <c r="J419" i="148"/>
  <c r="L419" i="148" s="1"/>
  <c r="N419" i="148"/>
  <c r="O419" i="148" s="1"/>
  <c r="J159" i="148"/>
  <c r="L159" i="148" s="1"/>
  <c r="N159" i="148"/>
  <c r="O159" i="148" s="1"/>
  <c r="J408" i="148"/>
  <c r="I77" i="148"/>
  <c r="F22" i="148"/>
  <c r="N22" i="148" s="1"/>
  <c r="G144" i="151"/>
  <c r="G136" i="151"/>
  <c r="J292" i="148"/>
  <c r="L292" i="148" s="1"/>
  <c r="O292" i="148"/>
  <c r="G153" i="151"/>
  <c r="G40" i="151"/>
  <c r="G58" i="151"/>
  <c r="G160" i="151"/>
  <c r="G26" i="151"/>
  <c r="G59" i="151"/>
  <c r="G169" i="151"/>
  <c r="G61" i="151"/>
  <c r="G103" i="151"/>
  <c r="F231" i="148"/>
  <c r="F172" i="148"/>
  <c r="I172" i="148" s="1"/>
  <c r="F173" i="148"/>
  <c r="I173" i="148" s="1"/>
  <c r="F234" i="148"/>
  <c r="I242" i="148"/>
  <c r="G131" i="151"/>
  <c r="L434" i="148"/>
  <c r="N434" i="148"/>
  <c r="O434" i="148" s="1"/>
  <c r="N255" i="148"/>
  <c r="O255" i="148" s="1"/>
  <c r="L255" i="148"/>
  <c r="J949" i="148"/>
  <c r="L949" i="148" s="1"/>
  <c r="J517" i="148"/>
  <c r="L517" i="148" s="1"/>
  <c r="J529" i="148"/>
  <c r="L529" i="148" s="1"/>
  <c r="N891" i="148"/>
  <c r="O891" i="148" s="1"/>
  <c r="I891" i="148"/>
  <c r="L891" i="148" s="1"/>
  <c r="O111" i="148"/>
  <c r="J111" i="148"/>
  <c r="L111" i="148" s="1"/>
  <c r="N953" i="148"/>
  <c r="O953" i="148" s="1"/>
  <c r="J953" i="148"/>
  <c r="L953" i="148" s="1"/>
  <c r="O107" i="148"/>
  <c r="I107" i="148"/>
  <c r="L107" i="148" s="1"/>
  <c r="J895" i="148"/>
  <c r="L895" i="148" s="1"/>
  <c r="I869" i="148"/>
  <c r="G115" i="151"/>
  <c r="G56" i="151"/>
  <c r="G127" i="151"/>
  <c r="L72" i="148"/>
  <c r="I912" i="148"/>
  <c r="I162" i="148"/>
  <c r="I543" i="148"/>
  <c r="I19" i="148"/>
  <c r="L19" i="148" s="1"/>
  <c r="O19" i="148"/>
  <c r="I83" i="148"/>
  <c r="J896" i="148"/>
  <c r="J622" i="148"/>
  <c r="J252" i="148"/>
  <c r="F155" i="148"/>
  <c r="I155" i="148" s="1"/>
  <c r="J932" i="148"/>
  <c r="N668" i="148"/>
  <c r="O668" i="148" s="1"/>
  <c r="I668" i="148"/>
  <c r="L668" i="148" s="1"/>
  <c r="N667" i="148"/>
  <c r="O667" i="148" s="1"/>
  <c r="I667" i="148"/>
  <c r="L667" i="148" s="1"/>
  <c r="I873" i="148"/>
  <c r="L873" i="148" s="1"/>
  <c r="N873" i="148"/>
  <c r="O873" i="148" s="1"/>
  <c r="N216" i="148"/>
  <c r="O216" i="148" s="1"/>
  <c r="J216" i="148"/>
  <c r="L216" i="148" s="1"/>
  <c r="J427" i="148"/>
  <c r="J726" i="148"/>
  <c r="J913" i="148"/>
  <c r="I956" i="148"/>
  <c r="I417" i="148"/>
  <c r="I519" i="148"/>
  <c r="J594" i="148"/>
  <c r="J601" i="148"/>
  <c r="I643" i="148"/>
  <c r="L643" i="148" s="1"/>
  <c r="N643" i="148"/>
  <c r="O643" i="148" s="1"/>
  <c r="I21" i="148"/>
  <c r="L21" i="148" s="1"/>
  <c r="J644" i="148"/>
  <c r="J583" i="148"/>
  <c r="J258" i="148"/>
  <c r="J950" i="148"/>
  <c r="J621" i="148"/>
  <c r="J632" i="148"/>
  <c r="J669" i="148"/>
  <c r="J217" i="148"/>
  <c r="J596" i="148"/>
  <c r="J297" i="148"/>
  <c r="I304" i="148"/>
  <c r="J871" i="148"/>
  <c r="L871" i="148" s="1"/>
  <c r="N871" i="148"/>
  <c r="O871" i="148" s="1"/>
  <c r="J226" i="148"/>
  <c r="I642" i="148"/>
  <c r="L642" i="148" s="1"/>
  <c r="N642" i="148"/>
  <c r="O642" i="148" s="1"/>
  <c r="I843" i="148"/>
  <c r="L843" i="148" s="1"/>
  <c r="N666" i="148" l="1"/>
  <c r="O666" i="148" s="1"/>
  <c r="J211" i="148"/>
  <c r="L211" i="148" s="1"/>
  <c r="N214" i="148"/>
  <c r="O214" i="148" s="1"/>
  <c r="N904" i="148"/>
  <c r="O904" i="148" s="1"/>
  <c r="N384" i="148"/>
  <c r="O384" i="148" s="1"/>
  <c r="L912" i="148"/>
  <c r="N669" i="148"/>
  <c r="O669" i="148" s="1"/>
  <c r="N406" i="148"/>
  <c r="O406" i="148" s="1"/>
  <c r="I74" i="148"/>
  <c r="L74" i="148" s="1"/>
  <c r="L214" i="148"/>
  <c r="L765" i="148"/>
  <c r="J552" i="148"/>
  <c r="L552" i="148" s="1"/>
  <c r="J820" i="148"/>
  <c r="N806" i="148"/>
  <c r="O806" i="148" s="1"/>
  <c r="J806" i="148"/>
  <c r="L806" i="148" s="1"/>
  <c r="J797" i="148"/>
  <c r="L797" i="148" s="1"/>
  <c r="N797" i="148"/>
  <c r="O797" i="148" s="1"/>
  <c r="I768" i="148"/>
  <c r="L768" i="148" s="1"/>
  <c r="N768" i="148"/>
  <c r="O768" i="148" s="1"/>
  <c r="I814" i="148"/>
  <c r="L814" i="148" s="1"/>
  <c r="N814" i="148"/>
  <c r="O814" i="148" s="1"/>
  <c r="I924" i="148"/>
  <c r="I670" i="148"/>
  <c r="L670" i="148" s="1"/>
  <c r="N644" i="148"/>
  <c r="O644" i="148" s="1"/>
  <c r="N705" i="148"/>
  <c r="O705" i="148" s="1"/>
  <c r="J387" i="148"/>
  <c r="I8" i="26" s="1"/>
  <c r="I271" i="148"/>
  <c r="N359" i="148"/>
  <c r="O359" i="148" s="1"/>
  <c r="N379" i="148"/>
  <c r="O379" i="148" s="1"/>
  <c r="I379" i="148"/>
  <c r="L379" i="148" s="1"/>
  <c r="N409" i="148"/>
  <c r="O409" i="148" s="1"/>
  <c r="I409" i="148"/>
  <c r="L409" i="148" s="1"/>
  <c r="L705" i="148"/>
  <c r="L359" i="148"/>
  <c r="I554" i="148"/>
  <c r="I551" i="148" s="1"/>
  <c r="K7" i="227" s="1"/>
  <c r="L666" i="148"/>
  <c r="L869" i="148"/>
  <c r="N31" i="148"/>
  <c r="O31" i="148" s="1"/>
  <c r="I31" i="148"/>
  <c r="L31" i="148" s="1"/>
  <c r="N62" i="148"/>
  <c r="O62" i="148" s="1"/>
  <c r="I62" i="148"/>
  <c r="L62" i="148" s="1"/>
  <c r="I528" i="148"/>
  <c r="J528" i="148"/>
  <c r="K537" i="148"/>
  <c r="J537" i="148"/>
  <c r="O538" i="148"/>
  <c r="I527" i="148"/>
  <c r="J527" i="148"/>
  <c r="I234" i="148"/>
  <c r="N568" i="148"/>
  <c r="O568" i="148" s="1"/>
  <c r="L568" i="148"/>
  <c r="I572" i="148"/>
  <c r="L534" i="148"/>
  <c r="J422" i="148"/>
  <c r="L669" i="148"/>
  <c r="L44" i="148"/>
  <c r="L644" i="148"/>
  <c r="L66" i="148"/>
  <c r="J84" i="148"/>
  <c r="J7" i="148"/>
  <c r="E8" i="227" s="1"/>
  <c r="I494" i="148"/>
  <c r="I448" i="148"/>
  <c r="L448" i="148" s="1"/>
  <c r="G54" i="151"/>
  <c r="G106" i="151"/>
  <c r="I872" i="148"/>
  <c r="L872" i="148" s="1"/>
  <c r="J138" i="148"/>
  <c r="I22" i="148"/>
  <c r="L22" i="148" s="1"/>
  <c r="O22" i="148"/>
  <c r="I231" i="148"/>
  <c r="J573" i="148"/>
  <c r="J839" i="148"/>
  <c r="J937" i="148"/>
  <c r="D9" i="13"/>
  <c r="D30" i="13"/>
  <c r="C30" i="13"/>
  <c r="E442" i="14"/>
  <c r="E448" i="14"/>
  <c r="E447" i="14"/>
  <c r="E446" i="14"/>
  <c r="E443" i="14"/>
  <c r="G442" i="14"/>
  <c r="F442" i="14"/>
  <c r="G441" i="14"/>
  <c r="F441" i="14"/>
  <c r="G439" i="14"/>
  <c r="G438" i="14"/>
  <c r="G435" i="14"/>
  <c r="G434" i="14"/>
  <c r="F466" i="14"/>
  <c r="F465" i="14"/>
  <c r="D11" i="13"/>
  <c r="C12" i="13"/>
  <c r="D12" i="13"/>
  <c r="D14" i="13"/>
  <c r="D17" i="13"/>
  <c r="C19" i="13"/>
  <c r="D19" i="13"/>
  <c r="C20" i="13"/>
  <c r="D20" i="13"/>
  <c r="C21" i="13"/>
  <c r="D21" i="13"/>
  <c r="D10" i="13"/>
  <c r="J551" i="148" l="1"/>
  <c r="K8" i="227" s="1"/>
  <c r="J735" i="148"/>
  <c r="N8" i="26" s="1"/>
  <c r="O8" i="26"/>
  <c r="N8" i="227"/>
  <c r="G8" i="26"/>
  <c r="G8" i="227"/>
  <c r="J8" i="26"/>
  <c r="O8" i="227"/>
  <c r="F8" i="26"/>
  <c r="F8" i="227"/>
  <c r="L537" i="148"/>
  <c r="K538" i="148"/>
  <c r="J538" i="148"/>
  <c r="I538" i="148"/>
  <c r="J558" i="148"/>
  <c r="G177" i="151"/>
  <c r="G88" i="151"/>
  <c r="E8" i="26"/>
  <c r="H441" i="14"/>
  <c r="H442" i="14"/>
  <c r="M8" i="26" l="1"/>
  <c r="L8" i="227"/>
  <c r="H443" i="14"/>
  <c r="H440" i="14" s="1"/>
  <c r="L538" i="148"/>
  <c r="K539" i="148"/>
  <c r="J539" i="148"/>
  <c r="I539" i="148"/>
  <c r="O539" i="148"/>
  <c r="G15" i="151" l="1"/>
  <c r="K540" i="148"/>
  <c r="J540" i="148"/>
  <c r="I540" i="148"/>
  <c r="O540" i="148"/>
  <c r="L539" i="148"/>
  <c r="J515" i="148"/>
  <c r="L540" i="148" l="1"/>
  <c r="K8" i="26"/>
  <c r="G14" i="151"/>
  <c r="F11" i="112"/>
  <c r="F12" i="112" s="1"/>
  <c r="F13" i="112" s="1"/>
  <c r="G10" i="112" s="1"/>
  <c r="F8" i="112"/>
  <c r="F9" i="112" s="1"/>
  <c r="G110" i="112"/>
  <c r="G111" i="112" s="1"/>
  <c r="N69" i="112"/>
  <c r="E61" i="112"/>
  <c r="E60" i="112"/>
  <c r="E59" i="112"/>
  <c r="E58" i="112"/>
  <c r="E56" i="112"/>
  <c r="E55" i="112"/>
  <c r="E54" i="112"/>
  <c r="E53" i="112"/>
  <c r="E52" i="112"/>
  <c r="E51" i="112"/>
  <c r="O50" i="112"/>
  <c r="E50" i="112"/>
  <c r="E49" i="112"/>
  <c r="J46" i="112"/>
  <c r="G46" i="112"/>
  <c r="E46" i="112"/>
  <c r="J45" i="112"/>
  <c r="G45" i="112"/>
  <c r="E45" i="112"/>
  <c r="J44" i="112"/>
  <c r="G44" i="112"/>
  <c r="E44" i="112"/>
  <c r="E41" i="112"/>
  <c r="E40" i="112"/>
  <c r="E39" i="112"/>
  <c r="E38" i="112"/>
  <c r="E37" i="112"/>
  <c r="E36" i="112"/>
  <c r="J33" i="112"/>
  <c r="G33" i="112"/>
  <c r="F33" i="112"/>
  <c r="E33" i="112"/>
  <c r="F32" i="112"/>
  <c r="E32" i="112"/>
  <c r="J27" i="112"/>
  <c r="C8" i="111" s="1"/>
  <c r="J24" i="112"/>
  <c r="C7" i="111" s="1"/>
  <c r="J10" i="112"/>
  <c r="J7" i="112"/>
  <c r="C4" i="111" s="1"/>
  <c r="U122" i="111"/>
  <c r="T122" i="111"/>
  <c r="U121" i="111"/>
  <c r="T121" i="111"/>
  <c r="U120" i="111"/>
  <c r="T120" i="111"/>
  <c r="U119" i="111"/>
  <c r="T119" i="111"/>
  <c r="U118" i="111"/>
  <c r="T118" i="111"/>
  <c r="U117" i="111"/>
  <c r="T117" i="111"/>
  <c r="U116" i="111"/>
  <c r="T116" i="111"/>
  <c r="U115" i="111"/>
  <c r="T115" i="111"/>
  <c r="U114" i="111"/>
  <c r="T114" i="111"/>
  <c r="U113" i="111"/>
  <c r="T113" i="111"/>
  <c r="U112" i="111"/>
  <c r="T112" i="111"/>
  <c r="U111" i="111"/>
  <c r="T111" i="111"/>
  <c r="U110" i="111"/>
  <c r="T110" i="111"/>
  <c r="U109" i="111"/>
  <c r="T109" i="111"/>
  <c r="U108" i="111"/>
  <c r="T108" i="111"/>
  <c r="U107" i="111"/>
  <c r="T107" i="111"/>
  <c r="U106" i="111"/>
  <c r="T106" i="111"/>
  <c r="U105" i="111"/>
  <c r="T105" i="111"/>
  <c r="U104" i="111"/>
  <c r="T104" i="111"/>
  <c r="U103" i="111"/>
  <c r="T103" i="111"/>
  <c r="U102" i="111"/>
  <c r="T102" i="111"/>
  <c r="U101" i="111"/>
  <c r="T101" i="111"/>
  <c r="U100" i="111"/>
  <c r="T100" i="111"/>
  <c r="U99" i="111"/>
  <c r="T99" i="111"/>
  <c r="U98" i="111"/>
  <c r="T98" i="111"/>
  <c r="T93" i="111"/>
  <c r="S93" i="111"/>
  <c r="C93" i="111"/>
  <c r="C91" i="111"/>
  <c r="D91" i="111" s="1"/>
  <c r="C89" i="111"/>
  <c r="D83" i="111"/>
  <c r="B6" i="111"/>
  <c r="B5" i="111"/>
  <c r="B4" i="111"/>
  <c r="Q3" i="111"/>
  <c r="P2" i="111"/>
  <c r="Q2" i="111" s="1"/>
  <c r="M2" i="111"/>
  <c r="L2" i="111"/>
  <c r="K3" i="111" l="1"/>
  <c r="S116" i="111"/>
  <c r="S102" i="111"/>
  <c r="S101" i="111"/>
  <c r="S103" i="111"/>
  <c r="S105" i="111"/>
  <c r="S107" i="111"/>
  <c r="S109" i="111"/>
  <c r="S111" i="111"/>
  <c r="S113" i="111"/>
  <c r="S115" i="111"/>
  <c r="S117" i="111"/>
  <c r="S104" i="111"/>
  <c r="S106" i="111"/>
  <c r="S108" i="111"/>
  <c r="S110" i="111"/>
  <c r="S112" i="111"/>
  <c r="S114" i="111"/>
  <c r="G7" i="112"/>
  <c r="C5" i="111"/>
  <c r="E124" i="111" s="1"/>
  <c r="E123" i="111"/>
  <c r="C118" i="111"/>
  <c r="E118" i="111" s="1"/>
  <c r="C113" i="111"/>
  <c r="E113" i="111" s="1"/>
  <c r="C108" i="111"/>
  <c r="E108" i="111" s="1"/>
  <c r="C103" i="111"/>
  <c r="E103" i="111" s="1"/>
  <c r="E126" i="111"/>
  <c r="C121" i="111"/>
  <c r="E121" i="111" s="1"/>
  <c r="C116" i="111"/>
  <c r="E116" i="111" s="1"/>
  <c r="C111" i="111"/>
  <c r="E111" i="111" s="1"/>
  <c r="C106" i="111"/>
  <c r="E106" i="111" s="1"/>
  <c r="C80" i="111"/>
  <c r="E80" i="111" s="1"/>
  <c r="E127" i="111"/>
  <c r="C122" i="111"/>
  <c r="E122" i="111" s="1"/>
  <c r="C117" i="111"/>
  <c r="E117" i="111" s="1"/>
  <c r="C112" i="111"/>
  <c r="E112" i="111" s="1"/>
  <c r="C107" i="111"/>
  <c r="E107" i="111" s="1"/>
  <c r="C15" i="111"/>
  <c r="E15" i="111" s="1"/>
  <c r="C16" i="111"/>
  <c r="E16" i="111" s="1"/>
  <c r="C32" i="111"/>
  <c r="D32" i="111" s="1"/>
  <c r="C36" i="111"/>
  <c r="C40" i="111"/>
  <c r="C55" i="111"/>
  <c r="E55" i="111" s="1"/>
  <c r="C57" i="111"/>
  <c r="E57" i="111" s="1"/>
  <c r="C61" i="111"/>
  <c r="E61" i="111" s="1"/>
  <c r="C65" i="111"/>
  <c r="E65" i="111" s="1"/>
  <c r="C67" i="111"/>
  <c r="E67" i="111" s="1"/>
  <c r="C71" i="111"/>
  <c r="E71" i="111" s="1"/>
  <c r="C75" i="111"/>
  <c r="E75" i="111" s="1"/>
  <c r="C77" i="111"/>
  <c r="E77" i="111" s="1"/>
  <c r="C81" i="111"/>
  <c r="E81" i="111" s="1"/>
  <c r="D93" i="111"/>
  <c r="E93" i="111"/>
  <c r="D123" i="111"/>
  <c r="D124" i="111"/>
  <c r="D125" i="111"/>
  <c r="C12" i="111"/>
  <c r="D12" i="111" s="1"/>
  <c r="C35" i="111"/>
  <c r="E35" i="111" s="1"/>
  <c r="C37" i="111"/>
  <c r="E37" i="111" s="1"/>
  <c r="C41" i="111"/>
  <c r="E41" i="111" s="1"/>
  <c r="C52" i="111"/>
  <c r="E52" i="111" s="1"/>
  <c r="C56" i="111"/>
  <c r="E56" i="111" s="1"/>
  <c r="C60" i="111"/>
  <c r="E60" i="111" s="1"/>
  <c r="C62" i="111"/>
  <c r="E62" i="111" s="1"/>
  <c r="C66" i="111"/>
  <c r="E66" i="111" s="1"/>
  <c r="C70" i="111"/>
  <c r="E70" i="111" s="1"/>
  <c r="C72" i="111"/>
  <c r="E72" i="111" s="1"/>
  <c r="C76" i="111"/>
  <c r="E76" i="111" s="1"/>
  <c r="E91" i="111"/>
  <c r="D89" i="111"/>
  <c r="E89" i="111"/>
  <c r="S122" i="111"/>
  <c r="S121" i="111"/>
  <c r="S120" i="111"/>
  <c r="S119" i="111"/>
  <c r="S118" i="111"/>
  <c r="D118" i="111" l="1"/>
  <c r="C78" i="111"/>
  <c r="E78" i="111" s="1"/>
  <c r="C68" i="111"/>
  <c r="E68" i="111" s="1"/>
  <c r="C58" i="111"/>
  <c r="E58" i="111" s="1"/>
  <c r="C33" i="111"/>
  <c r="E33" i="111" s="1"/>
  <c r="C13" i="111"/>
  <c r="D13" i="111" s="1"/>
  <c r="D108" i="111"/>
  <c r="E40" i="111"/>
  <c r="C109" i="111"/>
  <c r="E109" i="111" s="1"/>
  <c r="C119" i="111"/>
  <c r="E119" i="111" s="1"/>
  <c r="E36" i="111"/>
  <c r="C73" i="111"/>
  <c r="E73" i="111" s="1"/>
  <c r="C63" i="111"/>
  <c r="E63" i="111" s="1"/>
  <c r="C53" i="111"/>
  <c r="E53" i="111" s="1"/>
  <c r="C38" i="111"/>
  <c r="C104" i="111"/>
  <c r="C114" i="111"/>
  <c r="E32" i="111"/>
  <c r="D57" i="111"/>
  <c r="D77" i="111"/>
  <c r="D67" i="111"/>
  <c r="D37" i="111"/>
  <c r="D33" i="111"/>
  <c r="E12" i="111"/>
  <c r="D58" i="111"/>
  <c r="D68" i="111"/>
  <c r="D78" i="111"/>
  <c r="D52" i="111"/>
  <c r="D62" i="111"/>
  <c r="D72" i="111"/>
  <c r="D103" i="111"/>
  <c r="D113" i="111"/>
  <c r="D109" i="111" l="1"/>
  <c r="E13" i="111"/>
  <c r="D63" i="111"/>
  <c r="D53" i="111"/>
  <c r="D73" i="111"/>
  <c r="D119" i="111"/>
  <c r="E104" i="111"/>
  <c r="D104" i="111"/>
  <c r="E114" i="111"/>
  <c r="D114" i="111"/>
  <c r="D38" i="111"/>
  <c r="E38" i="111"/>
  <c r="P29" i="62" l="1"/>
  <c r="O29" i="62"/>
  <c r="P28" i="62"/>
  <c r="O28" i="62"/>
  <c r="P27" i="62"/>
  <c r="O27" i="62"/>
  <c r="P26" i="62"/>
  <c r="O26" i="62"/>
  <c r="P25" i="62"/>
  <c r="O25" i="62"/>
  <c r="P24" i="62"/>
  <c r="O24" i="62"/>
  <c r="P23" i="62"/>
  <c r="O23" i="62"/>
  <c r="P22" i="62"/>
  <c r="O22" i="62"/>
  <c r="I2" i="15" l="1"/>
  <c r="E17" i="14"/>
  <c r="E14" i="14"/>
  <c r="E13" i="14"/>
  <c r="E12" i="14"/>
  <c r="G9" i="14"/>
  <c r="H9" i="14" s="1"/>
  <c r="H8" i="14" s="1"/>
  <c r="H12" i="14" s="1"/>
  <c r="I6" i="15"/>
  <c r="P6" i="15" s="1"/>
  <c r="F680" i="14" s="1"/>
  <c r="T26" i="26"/>
  <c r="T25" i="26"/>
  <c r="K24" i="26"/>
  <c r="E24" i="26"/>
  <c r="D20" i="26"/>
  <c r="T14" i="26"/>
  <c r="S6" i="26"/>
  <c r="S22" i="26" s="1"/>
  <c r="R6" i="26"/>
  <c r="R22" i="26" s="1"/>
  <c r="Q6" i="26"/>
  <c r="Q11" i="26" s="1"/>
  <c r="D11" i="26"/>
  <c r="E1543" i="14"/>
  <c r="E1542" i="14"/>
  <c r="E1541" i="14"/>
  <c r="E1517" i="14"/>
  <c r="E1516" i="14"/>
  <c r="E1515" i="14"/>
  <c r="E1480" i="14"/>
  <c r="E1479" i="14"/>
  <c r="E1478" i="14"/>
  <c r="E1455" i="14"/>
  <c r="E1454" i="14"/>
  <c r="E1453" i="14"/>
  <c r="E1430" i="14"/>
  <c r="E1429" i="14"/>
  <c r="E1428" i="14"/>
  <c r="E1399" i="14"/>
  <c r="E1398" i="14"/>
  <c r="E1397" i="14"/>
  <c r="E1373" i="14"/>
  <c r="E1372" i="14"/>
  <c r="E1371" i="14"/>
  <c r="E1351" i="14"/>
  <c r="E1350" i="14"/>
  <c r="E1349" i="14"/>
  <c r="E1322" i="14"/>
  <c r="E1321" i="14"/>
  <c r="E1320" i="14"/>
  <c r="E1300" i="14"/>
  <c r="E1299" i="14"/>
  <c r="E1298" i="14"/>
  <c r="E1276" i="14"/>
  <c r="E1275" i="14"/>
  <c r="E1274" i="14"/>
  <c r="E1254" i="14"/>
  <c r="E1253" i="14"/>
  <c r="E1252" i="14"/>
  <c r="E1232" i="14"/>
  <c r="E1231" i="14"/>
  <c r="E1230" i="14"/>
  <c r="E1203" i="14"/>
  <c r="E1202" i="14"/>
  <c r="E1201" i="14"/>
  <c r="E1175" i="14"/>
  <c r="E1174" i="14"/>
  <c r="E1173" i="14"/>
  <c r="E1147" i="14"/>
  <c r="E1146" i="14"/>
  <c r="E1145" i="14"/>
  <c r="E1105" i="14"/>
  <c r="E1104" i="14"/>
  <c r="E1103" i="14"/>
  <c r="E1091" i="14"/>
  <c r="E1090" i="14"/>
  <c r="E1089" i="14"/>
  <c r="E1062" i="14"/>
  <c r="E1061" i="14"/>
  <c r="E1060" i="14"/>
  <c r="E1033" i="14"/>
  <c r="E1032" i="14"/>
  <c r="E1031" i="14"/>
  <c r="E1005" i="14"/>
  <c r="E1004" i="14"/>
  <c r="E1003" i="14"/>
  <c r="E977" i="14"/>
  <c r="E976" i="14"/>
  <c r="E975" i="14"/>
  <c r="E949" i="14"/>
  <c r="E948" i="14"/>
  <c r="E947" i="14"/>
  <c r="E920" i="14"/>
  <c r="E919" i="14"/>
  <c r="E918" i="14"/>
  <c r="E891" i="14"/>
  <c r="E890" i="14"/>
  <c r="E889" i="14"/>
  <c r="E862" i="14"/>
  <c r="E861" i="14"/>
  <c r="E860" i="14"/>
  <c r="E833" i="14"/>
  <c r="E832" i="14"/>
  <c r="E831" i="14"/>
  <c r="E810" i="14"/>
  <c r="E809" i="14"/>
  <c r="E808" i="14"/>
  <c r="E787" i="14"/>
  <c r="E786" i="14"/>
  <c r="E785" i="14"/>
  <c r="E764" i="14"/>
  <c r="E763" i="14"/>
  <c r="E762" i="14"/>
  <c r="E739" i="14"/>
  <c r="E738" i="14"/>
  <c r="E737" i="14"/>
  <c r="E714" i="14"/>
  <c r="E713" i="14"/>
  <c r="E712" i="14"/>
  <c r="E689" i="14"/>
  <c r="E688" i="14"/>
  <c r="E687" i="14"/>
  <c r="E666" i="14"/>
  <c r="E665" i="14"/>
  <c r="E664" i="14"/>
  <c r="E643" i="14"/>
  <c r="E642" i="14"/>
  <c r="E641" i="14"/>
  <c r="E620" i="14"/>
  <c r="E619" i="14"/>
  <c r="E618" i="14"/>
  <c r="E570" i="14"/>
  <c r="E569" i="14"/>
  <c r="E568" i="14"/>
  <c r="E545" i="14"/>
  <c r="E544" i="14"/>
  <c r="E543" i="14"/>
  <c r="E520" i="14"/>
  <c r="E519" i="14"/>
  <c r="E518" i="14"/>
  <c r="E496" i="14"/>
  <c r="E495" i="14"/>
  <c r="E494" i="14"/>
  <c r="E472" i="14"/>
  <c r="E471" i="14"/>
  <c r="E470" i="14"/>
  <c r="E424" i="14"/>
  <c r="E423" i="14"/>
  <c r="E422" i="14"/>
  <c r="E400" i="14"/>
  <c r="E399" i="14"/>
  <c r="E398" i="14"/>
  <c r="E376" i="14"/>
  <c r="E375" i="14"/>
  <c r="E374" i="14"/>
  <c r="E352" i="14"/>
  <c r="E351" i="14"/>
  <c r="E350" i="14"/>
  <c r="E328" i="14"/>
  <c r="E327" i="14"/>
  <c r="E326" i="14"/>
  <c r="E304" i="14"/>
  <c r="E303" i="14"/>
  <c r="E302" i="14"/>
  <c r="E280" i="14"/>
  <c r="E279" i="14"/>
  <c r="E278" i="14"/>
  <c r="E256" i="14"/>
  <c r="E255" i="14"/>
  <c r="E254" i="14"/>
  <c r="E232" i="14"/>
  <c r="E231" i="14"/>
  <c r="E230" i="14"/>
  <c r="E208" i="14"/>
  <c r="E207" i="14"/>
  <c r="E206" i="14"/>
  <c r="E182" i="14"/>
  <c r="E181" i="14"/>
  <c r="E180" i="14"/>
  <c r="E156" i="14"/>
  <c r="E155" i="14"/>
  <c r="E154" i="14"/>
  <c r="E130" i="14"/>
  <c r="E129" i="14"/>
  <c r="E128" i="14"/>
  <c r="E104" i="14"/>
  <c r="E103" i="14"/>
  <c r="E102" i="14"/>
  <c r="E77" i="14"/>
  <c r="E76" i="14"/>
  <c r="E75" i="14"/>
  <c r="E56" i="14"/>
  <c r="E55" i="14"/>
  <c r="E54" i="14"/>
  <c r="E35" i="14"/>
  <c r="E34" i="14"/>
  <c r="E33" i="14"/>
  <c r="E1100" i="14"/>
  <c r="G1100" i="14"/>
  <c r="Q22" i="16"/>
  <c r="G218" i="14"/>
  <c r="Q51" i="16"/>
  <c r="G219" i="14"/>
  <c r="E220" i="14"/>
  <c r="G222" i="14"/>
  <c r="G223" i="14"/>
  <c r="F225" i="14"/>
  <c r="G225" i="14"/>
  <c r="F226" i="14"/>
  <c r="G226" i="14"/>
  <c r="H226" i="14" s="1"/>
  <c r="E227" i="14"/>
  <c r="Q41" i="16"/>
  <c r="F723" i="14" s="1"/>
  <c r="G529" i="14"/>
  <c r="Q53" i="16"/>
  <c r="F605" i="14" s="1"/>
  <c r="G530" i="14"/>
  <c r="F531" i="14"/>
  <c r="G531" i="14"/>
  <c r="Q50" i="16"/>
  <c r="G532" i="14"/>
  <c r="E533" i="14"/>
  <c r="F538" i="14"/>
  <c r="F539" i="14"/>
  <c r="E540" i="14"/>
  <c r="F629" i="14"/>
  <c r="H629" i="14" s="1"/>
  <c r="G629" i="14"/>
  <c r="G630" i="14"/>
  <c r="E631" i="14"/>
  <c r="F636" i="14"/>
  <c r="F637" i="14"/>
  <c r="H637" i="14" s="1"/>
  <c r="E638" i="14"/>
  <c r="E65" i="14"/>
  <c r="F65" i="14"/>
  <c r="G65" i="14"/>
  <c r="E66" i="14"/>
  <c r="E68" i="14"/>
  <c r="G68" i="14"/>
  <c r="E69" i="14"/>
  <c r="G69" i="14"/>
  <c r="E71" i="14"/>
  <c r="F71" i="14"/>
  <c r="G71" i="14"/>
  <c r="E72" i="14"/>
  <c r="E266" i="14"/>
  <c r="F266" i="14"/>
  <c r="G266" i="14"/>
  <c r="H266" i="14" s="1"/>
  <c r="E267" i="14"/>
  <c r="H267" i="14" s="1"/>
  <c r="F267" i="14"/>
  <c r="G267" i="14"/>
  <c r="E268" i="14"/>
  <c r="E270" i="14"/>
  <c r="G270" i="14"/>
  <c r="E271" i="14"/>
  <c r="G271" i="14"/>
  <c r="E273" i="14"/>
  <c r="F273" i="14"/>
  <c r="G273" i="14"/>
  <c r="E274" i="14"/>
  <c r="F274" i="14"/>
  <c r="G274" i="14"/>
  <c r="H274" i="14" s="1"/>
  <c r="E275" i="14"/>
  <c r="E604" i="14"/>
  <c r="G604" i="14"/>
  <c r="E605" i="14"/>
  <c r="G605" i="14"/>
  <c r="E606" i="14"/>
  <c r="F606" i="14"/>
  <c r="G606" i="14"/>
  <c r="H606" i="14" s="1"/>
  <c r="E607" i="14"/>
  <c r="G607" i="14"/>
  <c r="E608" i="14"/>
  <c r="E610" i="14"/>
  <c r="G610" i="14"/>
  <c r="E611" i="14"/>
  <c r="G611" i="14"/>
  <c r="E613" i="14"/>
  <c r="F613" i="14"/>
  <c r="G613" i="14"/>
  <c r="E614" i="14"/>
  <c r="H614" i="14" s="1"/>
  <c r="F614" i="14"/>
  <c r="G614" i="14"/>
  <c r="E615" i="14"/>
  <c r="E675" i="14"/>
  <c r="F675" i="14"/>
  <c r="G675" i="14"/>
  <c r="E676" i="14"/>
  <c r="G676" i="14"/>
  <c r="E677" i="14"/>
  <c r="E679" i="14"/>
  <c r="G679" i="14"/>
  <c r="E680" i="14"/>
  <c r="G680" i="14"/>
  <c r="E682" i="14"/>
  <c r="F682" i="14"/>
  <c r="G682" i="14"/>
  <c r="E683" i="14"/>
  <c r="F683" i="14"/>
  <c r="G683" i="14"/>
  <c r="E684" i="14"/>
  <c r="E338" i="14"/>
  <c r="F338" i="14"/>
  <c r="G338" i="14"/>
  <c r="H338" i="14" s="1"/>
  <c r="E339" i="14"/>
  <c r="F339" i="14"/>
  <c r="G339" i="14"/>
  <c r="H339" i="14" s="1"/>
  <c r="E340" i="14"/>
  <c r="E342" i="14"/>
  <c r="G342" i="14"/>
  <c r="E343" i="14"/>
  <c r="G343" i="14"/>
  <c r="E345" i="14"/>
  <c r="H345" i="14" s="1"/>
  <c r="F345" i="14"/>
  <c r="G345" i="14"/>
  <c r="E346" i="14"/>
  <c r="F346" i="14"/>
  <c r="G346" i="14"/>
  <c r="E347" i="14"/>
  <c r="E842" i="14"/>
  <c r="Q42" i="16"/>
  <c r="F842" i="14" s="1"/>
  <c r="G842" i="14"/>
  <c r="H842" i="14" s="1"/>
  <c r="E843" i="14"/>
  <c r="Q24" i="16"/>
  <c r="F1265" i="14" s="1"/>
  <c r="G843" i="14"/>
  <c r="E844" i="14"/>
  <c r="Q10" i="16"/>
  <c r="F844" i="14" s="1"/>
  <c r="G844" i="14"/>
  <c r="E845" i="14"/>
  <c r="Q65" i="16"/>
  <c r="F845" i="14" s="1"/>
  <c r="G845" i="14"/>
  <c r="E846" i="14"/>
  <c r="Q63" i="16"/>
  <c r="F846" i="14" s="1"/>
  <c r="G846" i="14"/>
  <c r="E847" i="14"/>
  <c r="Q19" i="16"/>
  <c r="F847" i="14" s="1"/>
  <c r="G847" i="14"/>
  <c r="E848" i="14"/>
  <c r="Q39" i="16"/>
  <c r="F848" i="14" s="1"/>
  <c r="G848" i="14"/>
  <c r="E849" i="14"/>
  <c r="Q37" i="16"/>
  <c r="F849" i="14" s="1"/>
  <c r="G849" i="14"/>
  <c r="E850" i="14"/>
  <c r="Q38" i="16"/>
  <c r="F850" i="14" s="1"/>
  <c r="G850" i="14"/>
  <c r="E851" i="14"/>
  <c r="Q12" i="16"/>
  <c r="F851" i="14" s="1"/>
  <c r="G851" i="14"/>
  <c r="E852" i="14"/>
  <c r="Q34" i="16"/>
  <c r="F852" i="14" s="1"/>
  <c r="G852" i="14"/>
  <c r="E853" i="14"/>
  <c r="E855" i="14"/>
  <c r="G855" i="14"/>
  <c r="E857" i="14"/>
  <c r="F857" i="14"/>
  <c r="G857" i="14"/>
  <c r="H857" i="14" s="1"/>
  <c r="H856" i="14" s="1"/>
  <c r="E871" i="14"/>
  <c r="G871" i="14"/>
  <c r="E872" i="14"/>
  <c r="G872" i="14"/>
  <c r="E873" i="14"/>
  <c r="G873" i="14"/>
  <c r="E874" i="14"/>
  <c r="G874" i="14"/>
  <c r="E875" i="14"/>
  <c r="G875" i="14"/>
  <c r="E876" i="14"/>
  <c r="F876" i="14"/>
  <c r="G876" i="14"/>
  <c r="E877" i="14"/>
  <c r="G877" i="14"/>
  <c r="E878" i="14"/>
  <c r="G878" i="14"/>
  <c r="E879" i="14"/>
  <c r="G879" i="14"/>
  <c r="E880" i="14"/>
  <c r="F880" i="14"/>
  <c r="G880" i="14"/>
  <c r="E881" i="14"/>
  <c r="G881" i="14"/>
  <c r="E882" i="14"/>
  <c r="E884" i="14"/>
  <c r="G884" i="14"/>
  <c r="E886" i="14"/>
  <c r="F886" i="14"/>
  <c r="G886" i="14"/>
  <c r="E1360" i="14"/>
  <c r="Q58" i="16"/>
  <c r="F1498" i="14" s="1"/>
  <c r="G1360" i="14"/>
  <c r="Q40" i="16"/>
  <c r="F1384" i="14" s="1"/>
  <c r="G1361" i="14"/>
  <c r="E1362" i="14"/>
  <c r="E1364" i="14"/>
  <c r="G1364" i="14"/>
  <c r="E1366" i="14"/>
  <c r="F1366" i="14"/>
  <c r="G1366" i="14"/>
  <c r="H1366" i="14" s="1"/>
  <c r="E1367" i="14"/>
  <c r="F1367" i="14"/>
  <c r="G1367" i="14"/>
  <c r="H1367" i="14" s="1"/>
  <c r="E1368" i="14"/>
  <c r="E1408" i="14"/>
  <c r="G1408" i="14"/>
  <c r="E1409" i="14"/>
  <c r="Q13" i="16"/>
  <c r="F1409" i="14" s="1"/>
  <c r="G1409" i="14"/>
  <c r="E1410" i="14"/>
  <c r="Q16" i="16"/>
  <c r="F1410" i="14" s="1"/>
  <c r="G1410" i="14"/>
  <c r="E1411" i="14"/>
  <c r="G1411" i="14"/>
  <c r="E1412" i="14"/>
  <c r="Q64" i="16"/>
  <c r="F1412" i="14" s="1"/>
  <c r="G1412" i="14"/>
  <c r="E1413" i="14"/>
  <c r="Q25" i="16"/>
  <c r="F1413" i="14" s="1"/>
  <c r="G1413" i="14"/>
  <c r="E1414" i="14"/>
  <c r="Q36" i="16"/>
  <c r="F1414" i="14" s="1"/>
  <c r="G1414" i="14"/>
  <c r="E1415" i="14"/>
  <c r="Q30" i="16"/>
  <c r="G1415" i="14"/>
  <c r="E1416" i="14"/>
  <c r="Q47" i="16"/>
  <c r="F1416" i="14" s="1"/>
  <c r="G1416" i="14"/>
  <c r="E1417" i="14"/>
  <c r="E1419" i="14"/>
  <c r="G1419" i="14"/>
  <c r="E1421" i="14"/>
  <c r="F1421" i="14"/>
  <c r="G1421" i="14"/>
  <c r="H1421" i="14" s="1"/>
  <c r="E1422" i="14"/>
  <c r="F1422" i="14"/>
  <c r="G1422" i="14"/>
  <c r="E1423" i="14"/>
  <c r="F1423" i="14"/>
  <c r="G1423" i="14"/>
  <c r="E1424" i="14"/>
  <c r="F1424" i="14"/>
  <c r="G1424" i="14"/>
  <c r="E1425" i="14"/>
  <c r="E1464" i="14"/>
  <c r="Q27" i="16"/>
  <c r="F1464" i="14" s="1"/>
  <c r="G1464" i="14"/>
  <c r="E1465" i="14"/>
  <c r="G1465" i="14"/>
  <c r="E1466" i="14"/>
  <c r="E1468" i="14"/>
  <c r="G1468" i="14"/>
  <c r="E1470" i="14"/>
  <c r="F1470" i="14"/>
  <c r="G1470" i="14"/>
  <c r="E1471" i="14"/>
  <c r="H1471" i="14" s="1"/>
  <c r="F1471" i="14"/>
  <c r="G1471" i="14"/>
  <c r="E1472" i="14"/>
  <c r="F1472" i="14"/>
  <c r="G1472" i="14"/>
  <c r="E1473" i="14"/>
  <c r="F1473" i="14"/>
  <c r="G1473" i="14"/>
  <c r="E1474" i="14"/>
  <c r="F1474" i="14"/>
  <c r="G1474" i="14"/>
  <c r="E1475" i="14"/>
  <c r="Q69" i="16"/>
  <c r="F1161" i="14" s="1"/>
  <c r="Q68" i="16"/>
  <c r="F1078" i="14" s="1"/>
  <c r="Q67" i="16"/>
  <c r="F1242" i="14" s="1"/>
  <c r="Q66" i="16"/>
  <c r="F1383" i="14" s="1"/>
  <c r="Q62" i="16"/>
  <c r="F1215" i="14" s="1"/>
  <c r="Q61" i="16"/>
  <c r="F1332" i="14" s="1"/>
  <c r="Q60" i="16"/>
  <c r="F1338" i="14" s="1"/>
  <c r="Q59" i="16"/>
  <c r="Q57" i="16"/>
  <c r="Q56" i="16"/>
  <c r="F168" i="14" s="1"/>
  <c r="Q55" i="16"/>
  <c r="F1490" i="14" s="1"/>
  <c r="Q54" i="16"/>
  <c r="F1334" i="14" s="1"/>
  <c r="Q52" i="16"/>
  <c r="F1288" i="14" s="1"/>
  <c r="Q49" i="16"/>
  <c r="Q48" i="16"/>
  <c r="F1497" i="14" s="1"/>
  <c r="Q46" i="16"/>
  <c r="F1263" i="14" s="1"/>
  <c r="Q45" i="16"/>
  <c r="F1241" i="14" s="1"/>
  <c r="Q44" i="16"/>
  <c r="F1212" i="14" s="1"/>
  <c r="Q43" i="16"/>
  <c r="F1184" i="14" s="1"/>
  <c r="Q35" i="16"/>
  <c r="F1244" i="14" s="1"/>
  <c r="Q33" i="16"/>
  <c r="F1339" i="14" s="1"/>
  <c r="Q32" i="16"/>
  <c r="F1331" i="14" s="1"/>
  <c r="Q31" i="16"/>
  <c r="F1286" i="14" s="1"/>
  <c r="Q29" i="16"/>
  <c r="F1336" i="14" s="1"/>
  <c r="Q28" i="16"/>
  <c r="F1489" i="14" s="1"/>
  <c r="Q26" i="16"/>
  <c r="F1439" i="14" s="1"/>
  <c r="Q23" i="16"/>
  <c r="Q21" i="16"/>
  <c r="Q20" i="16"/>
  <c r="F1337" i="14" s="1"/>
  <c r="Q18" i="16"/>
  <c r="F1335" i="14" s="1"/>
  <c r="Q17" i="16"/>
  <c r="F1496" i="14" s="1"/>
  <c r="H1496" i="14" s="1"/>
  <c r="Q15" i="16"/>
  <c r="F1494" i="14" s="1"/>
  <c r="Q14" i="16"/>
  <c r="F1493" i="14" s="1"/>
  <c r="Q11" i="16"/>
  <c r="F1213" i="14" s="1"/>
  <c r="Q9" i="16"/>
  <c r="F1287" i="14" s="1"/>
  <c r="Q8" i="16"/>
  <c r="F1333" i="14" s="1"/>
  <c r="O35" i="15"/>
  <c r="N35" i="15"/>
  <c r="M35" i="15"/>
  <c r="L35" i="15"/>
  <c r="K35" i="15"/>
  <c r="O33" i="15"/>
  <c r="L33" i="15"/>
  <c r="K33" i="15"/>
  <c r="O32" i="15"/>
  <c r="M32" i="15"/>
  <c r="L32" i="15"/>
  <c r="K32" i="15"/>
  <c r="O31" i="15"/>
  <c r="L31" i="15"/>
  <c r="K31" i="15"/>
  <c r="O30" i="15"/>
  <c r="N30" i="15"/>
  <c r="M30" i="15"/>
  <c r="L30" i="15"/>
  <c r="K30" i="15"/>
  <c r="G1533" i="14"/>
  <c r="O29" i="15"/>
  <c r="L29" i="15"/>
  <c r="K29" i="15"/>
  <c r="O28" i="15"/>
  <c r="L28" i="15"/>
  <c r="K28" i="15"/>
  <c r="O26" i="15"/>
  <c r="N26" i="15"/>
  <c r="M26" i="15"/>
  <c r="L26" i="15"/>
  <c r="K26" i="15"/>
  <c r="O24" i="15"/>
  <c r="L24" i="15"/>
  <c r="K24" i="15"/>
  <c r="O23" i="15"/>
  <c r="L23" i="15"/>
  <c r="K23" i="15"/>
  <c r="O22" i="15"/>
  <c r="L22" i="15"/>
  <c r="K22" i="15"/>
  <c r="O21" i="15"/>
  <c r="L21" i="15"/>
  <c r="K21" i="15"/>
  <c r="O20" i="15"/>
  <c r="N20" i="15"/>
  <c r="M20" i="15"/>
  <c r="L20" i="15"/>
  <c r="K20" i="15"/>
  <c r="O19" i="15"/>
  <c r="L19" i="15"/>
  <c r="K19" i="15"/>
  <c r="O18" i="15"/>
  <c r="L18" i="15"/>
  <c r="K18" i="15"/>
  <c r="O16" i="15"/>
  <c r="N16" i="15"/>
  <c r="L16" i="15"/>
  <c r="K16" i="15"/>
  <c r="O15" i="15"/>
  <c r="L15" i="15"/>
  <c r="K15" i="15"/>
  <c r="O14" i="15"/>
  <c r="L14" i="15"/>
  <c r="K14" i="15"/>
  <c r="O13" i="15"/>
  <c r="L13" i="15"/>
  <c r="K13" i="15"/>
  <c r="O12" i="15"/>
  <c r="L12" i="15"/>
  <c r="K12" i="15"/>
  <c r="O11" i="15"/>
  <c r="L11" i="15"/>
  <c r="K11" i="15"/>
  <c r="O9" i="15"/>
  <c r="L9" i="15"/>
  <c r="K9" i="15"/>
  <c r="O8" i="15"/>
  <c r="L8" i="15"/>
  <c r="K8" i="15"/>
  <c r="E1538" i="14"/>
  <c r="G1537" i="14"/>
  <c r="F1537" i="14"/>
  <c r="G1536" i="14"/>
  <c r="F1536" i="14"/>
  <c r="G1535" i="14"/>
  <c r="H1535" i="14" s="1"/>
  <c r="F1535" i="14"/>
  <c r="G1534" i="14"/>
  <c r="F1534" i="14"/>
  <c r="G1531" i="14"/>
  <c r="E1529" i="14"/>
  <c r="G1528" i="14"/>
  <c r="G1527" i="14"/>
  <c r="G1526" i="14"/>
  <c r="F1526" i="14"/>
  <c r="G1512" i="14"/>
  <c r="E1512" i="14"/>
  <c r="F1512" i="14"/>
  <c r="G1511" i="14"/>
  <c r="E1511" i="14"/>
  <c r="F1511" i="14"/>
  <c r="G1510" i="14"/>
  <c r="E1510" i="14"/>
  <c r="F1510" i="14"/>
  <c r="H1510" i="14" s="1"/>
  <c r="G1509" i="14"/>
  <c r="E1509" i="14"/>
  <c r="F1509" i="14"/>
  <c r="G1508" i="14"/>
  <c r="E1508" i="14"/>
  <c r="F1508" i="14"/>
  <c r="H1508" i="14" s="1"/>
  <c r="G1507" i="14"/>
  <c r="H1507" i="14" s="1"/>
  <c r="E1507" i="14"/>
  <c r="F1507" i="14"/>
  <c r="G1506" i="14"/>
  <c r="E1506" i="14"/>
  <c r="F1506" i="14"/>
  <c r="G1505" i="14"/>
  <c r="E1505" i="14"/>
  <c r="F1505" i="14"/>
  <c r="G1504" i="14"/>
  <c r="E1504" i="14"/>
  <c r="H1504" i="14" s="1"/>
  <c r="F1504" i="14"/>
  <c r="G1503" i="14"/>
  <c r="E1503" i="14"/>
  <c r="G1501" i="14"/>
  <c r="E1501" i="14"/>
  <c r="E1499" i="14"/>
  <c r="G1498" i="14"/>
  <c r="E1498" i="14"/>
  <c r="G1497" i="14"/>
  <c r="E1497" i="14"/>
  <c r="G1496" i="14"/>
  <c r="E1496" i="14"/>
  <c r="G1495" i="14"/>
  <c r="E1495" i="14"/>
  <c r="G1494" i="14"/>
  <c r="H1494" i="14" s="1"/>
  <c r="E1494" i="14"/>
  <c r="G1493" i="14"/>
  <c r="E1493" i="14"/>
  <c r="G1492" i="14"/>
  <c r="E1492" i="14"/>
  <c r="G1491" i="14"/>
  <c r="E1491" i="14"/>
  <c r="G1490" i="14"/>
  <c r="E1490" i="14"/>
  <c r="G1489" i="14"/>
  <c r="E1489" i="14"/>
  <c r="E1450" i="14"/>
  <c r="G1449" i="14"/>
  <c r="F1449" i="14"/>
  <c r="E1449" i="14"/>
  <c r="G1448" i="14"/>
  <c r="F1448" i="14"/>
  <c r="E1448" i="14"/>
  <c r="G1447" i="14"/>
  <c r="F1447" i="14"/>
  <c r="E1447" i="14"/>
  <c r="G1446" i="14"/>
  <c r="H1446" i="14" s="1"/>
  <c r="F1446" i="14"/>
  <c r="E1446" i="14"/>
  <c r="G1445" i="14"/>
  <c r="F1445" i="14"/>
  <c r="E1445" i="14"/>
  <c r="G1443" i="14"/>
  <c r="E1443" i="14"/>
  <c r="E1441" i="14"/>
  <c r="G1440" i="14"/>
  <c r="E1440" i="14"/>
  <c r="G1439" i="14"/>
  <c r="E1439" i="14"/>
  <c r="E1394" i="14"/>
  <c r="G1393" i="14"/>
  <c r="F1393" i="14"/>
  <c r="G1392" i="14"/>
  <c r="H1392" i="14" s="1"/>
  <c r="F1392" i="14"/>
  <c r="G1391" i="14"/>
  <c r="H1391" i="14" s="1"/>
  <c r="F1391" i="14"/>
  <c r="G1389" i="14"/>
  <c r="E1387" i="14"/>
  <c r="G1386" i="14"/>
  <c r="E1386" i="14"/>
  <c r="G1385" i="14"/>
  <c r="E1385" i="14"/>
  <c r="G1384" i="14"/>
  <c r="E1384" i="14"/>
  <c r="G1383" i="14"/>
  <c r="E1383" i="14"/>
  <c r="G1382" i="14"/>
  <c r="G1346" i="14"/>
  <c r="E1346" i="14"/>
  <c r="G1345" i="14"/>
  <c r="F1345" i="14"/>
  <c r="E1345" i="14"/>
  <c r="G1344" i="14"/>
  <c r="F1344" i="14"/>
  <c r="H1344" i="14" s="1"/>
  <c r="E1344" i="14"/>
  <c r="G1342" i="14"/>
  <c r="E1342" i="14"/>
  <c r="E1340" i="14"/>
  <c r="G1339" i="14"/>
  <c r="E1339" i="14"/>
  <c r="G1338" i="14"/>
  <c r="E1338" i="14"/>
  <c r="G1337" i="14"/>
  <c r="E1337" i="14"/>
  <c r="G1336" i="14"/>
  <c r="H1336" i="14" s="1"/>
  <c r="E1336" i="14"/>
  <c r="G1335" i="14"/>
  <c r="E1335" i="14"/>
  <c r="G1334" i="14"/>
  <c r="E1334" i="14"/>
  <c r="H1334" i="14" s="1"/>
  <c r="G1333" i="14"/>
  <c r="E1333" i="14"/>
  <c r="G1332" i="14"/>
  <c r="E1332" i="14"/>
  <c r="H1332" i="14" s="1"/>
  <c r="G1331" i="14"/>
  <c r="E1331" i="14"/>
  <c r="E1317" i="14"/>
  <c r="G1316" i="14"/>
  <c r="E1316" i="14"/>
  <c r="G1315" i="14"/>
  <c r="F1315" i="14"/>
  <c r="E1315" i="14"/>
  <c r="G1314" i="14"/>
  <c r="H1314" i="14" s="1"/>
  <c r="F1314" i="14"/>
  <c r="E1314" i="14"/>
  <c r="G1312" i="14"/>
  <c r="E1312" i="14"/>
  <c r="E1310" i="14"/>
  <c r="G1309" i="14"/>
  <c r="E1309" i="14"/>
  <c r="G1295" i="14"/>
  <c r="F1295" i="14"/>
  <c r="E1295" i="14"/>
  <c r="G1294" i="14"/>
  <c r="E1294" i="14"/>
  <c r="G1293" i="14"/>
  <c r="E1293" i="14"/>
  <c r="G1291" i="14"/>
  <c r="E1291" i="14"/>
  <c r="E1289" i="14"/>
  <c r="G1288" i="14"/>
  <c r="E1288" i="14"/>
  <c r="G1287" i="14"/>
  <c r="E1287" i="14"/>
  <c r="G1286" i="14"/>
  <c r="E1286" i="14"/>
  <c r="G1285" i="14"/>
  <c r="E1285" i="14"/>
  <c r="G1271" i="14"/>
  <c r="F1271" i="14"/>
  <c r="E1271" i="14"/>
  <c r="G1269" i="14"/>
  <c r="E1269" i="14"/>
  <c r="E1267" i="14"/>
  <c r="G1266" i="14"/>
  <c r="E1266" i="14"/>
  <c r="G1265" i="14"/>
  <c r="E1265" i="14"/>
  <c r="G1264" i="14"/>
  <c r="E1264" i="14"/>
  <c r="G1263" i="14"/>
  <c r="E1263" i="14"/>
  <c r="G1249" i="14"/>
  <c r="F1249" i="14"/>
  <c r="E1249" i="14"/>
  <c r="G1247" i="14"/>
  <c r="E1247" i="14"/>
  <c r="E1245" i="14"/>
  <c r="G1244" i="14"/>
  <c r="E1244" i="14"/>
  <c r="G1243" i="14"/>
  <c r="H1243" i="14" s="1"/>
  <c r="F1243" i="14"/>
  <c r="E1243" i="14"/>
  <c r="G1242" i="14"/>
  <c r="E1242" i="14"/>
  <c r="G1241" i="14"/>
  <c r="E1241" i="14"/>
  <c r="E1227" i="14"/>
  <c r="G1226" i="14"/>
  <c r="H1226" i="14" s="1"/>
  <c r="H1227" i="14" s="1"/>
  <c r="H1225" i="14" s="1"/>
  <c r="F1226" i="14"/>
  <c r="E1226" i="14"/>
  <c r="G1224" i="14"/>
  <c r="E1224" i="14"/>
  <c r="E1222" i="14"/>
  <c r="G1221" i="14"/>
  <c r="E1221" i="14"/>
  <c r="G1220" i="14"/>
  <c r="E1220" i="14"/>
  <c r="G1219" i="14"/>
  <c r="E1219" i="14"/>
  <c r="G1218" i="14"/>
  <c r="E1218" i="14"/>
  <c r="G1217" i="14"/>
  <c r="E1217" i="14"/>
  <c r="G1216" i="14"/>
  <c r="E1216" i="14"/>
  <c r="G1215" i="14"/>
  <c r="E1215" i="14"/>
  <c r="G1214" i="14"/>
  <c r="F1214" i="14"/>
  <c r="E1214" i="14"/>
  <c r="H1214" i="14" s="1"/>
  <c r="G1213" i="14"/>
  <c r="E1213" i="14"/>
  <c r="G1212" i="14"/>
  <c r="E1212" i="14"/>
  <c r="E1198" i="14"/>
  <c r="G1197" i="14"/>
  <c r="F1197" i="14"/>
  <c r="E1197" i="14"/>
  <c r="G1195" i="14"/>
  <c r="E1195" i="14"/>
  <c r="E1193" i="14"/>
  <c r="G1192" i="14"/>
  <c r="E1192" i="14"/>
  <c r="G1191" i="14"/>
  <c r="E1191" i="14"/>
  <c r="G1190" i="14"/>
  <c r="E1190" i="14"/>
  <c r="G1189" i="14"/>
  <c r="E1189" i="14"/>
  <c r="G1188" i="14"/>
  <c r="E1188" i="14"/>
  <c r="G1187" i="14"/>
  <c r="E1187" i="14"/>
  <c r="G1186" i="14"/>
  <c r="E1186" i="14"/>
  <c r="G1185" i="14"/>
  <c r="F1185" i="14"/>
  <c r="E1185" i="14"/>
  <c r="H1185" i="14" s="1"/>
  <c r="G1184" i="14"/>
  <c r="E1184" i="14"/>
  <c r="E1170" i="14"/>
  <c r="G1169" i="14"/>
  <c r="F1169" i="14"/>
  <c r="E1169" i="14"/>
  <c r="G1167" i="14"/>
  <c r="E1167" i="14"/>
  <c r="E1165" i="14"/>
  <c r="G1164" i="14"/>
  <c r="E1164" i="14"/>
  <c r="G1163" i="14"/>
  <c r="E1163" i="14"/>
  <c r="G1162" i="14"/>
  <c r="E1162" i="14"/>
  <c r="G1161" i="14"/>
  <c r="E1161" i="14"/>
  <c r="G1160" i="14"/>
  <c r="F1160" i="14"/>
  <c r="E1160" i="14"/>
  <c r="H1160" i="14" s="1"/>
  <c r="G1159" i="14"/>
  <c r="E1159" i="14"/>
  <c r="G1158" i="14"/>
  <c r="E1158" i="14"/>
  <c r="G1157" i="14"/>
  <c r="E1157" i="14"/>
  <c r="G1156" i="14"/>
  <c r="E1156" i="14"/>
  <c r="E1142" i="14"/>
  <c r="G1141" i="14"/>
  <c r="H1141" i="14" s="1"/>
  <c r="F1141" i="14"/>
  <c r="E1141" i="14"/>
  <c r="G1139" i="14"/>
  <c r="H1139" i="14" s="1"/>
  <c r="H1138" i="14" s="1"/>
  <c r="H1145" i="14" s="1"/>
  <c r="E1139" i="14"/>
  <c r="F1139" i="14"/>
  <c r="E1137" i="14"/>
  <c r="G1136" i="14"/>
  <c r="E1136" i="14"/>
  <c r="G1135" i="14"/>
  <c r="E1135" i="14"/>
  <c r="G1134" i="14"/>
  <c r="E1134" i="14"/>
  <c r="G1133" i="14"/>
  <c r="E1133" i="14"/>
  <c r="G1132" i="14"/>
  <c r="E1132" i="14"/>
  <c r="G1131" i="14"/>
  <c r="E1131" i="14"/>
  <c r="G1130" i="14"/>
  <c r="E1130" i="14"/>
  <c r="G1129" i="14"/>
  <c r="F1129" i="14"/>
  <c r="H1129" i="14" s="1"/>
  <c r="E1129" i="14"/>
  <c r="G1128" i="14"/>
  <c r="E1128" i="14"/>
  <c r="E1086" i="14"/>
  <c r="G1085" i="14"/>
  <c r="F1085" i="14"/>
  <c r="E1085" i="14"/>
  <c r="G1083" i="14"/>
  <c r="E1083" i="14"/>
  <c r="E1081" i="14"/>
  <c r="G1080" i="14"/>
  <c r="E1080" i="14"/>
  <c r="G1079" i="14"/>
  <c r="E1079" i="14"/>
  <c r="G1078" i="14"/>
  <c r="E1078" i="14"/>
  <c r="G1077" i="14"/>
  <c r="E1077" i="14"/>
  <c r="G1076" i="14"/>
  <c r="F1076" i="14"/>
  <c r="E1076" i="14"/>
  <c r="G1075" i="14"/>
  <c r="E1075" i="14"/>
  <c r="G1074" i="14"/>
  <c r="H1074" i="14" s="1"/>
  <c r="F1074" i="14"/>
  <c r="E1074" i="14"/>
  <c r="G1073" i="14"/>
  <c r="E1073" i="14"/>
  <c r="G1072" i="14"/>
  <c r="E1072" i="14"/>
  <c r="G1071" i="14"/>
  <c r="E1071" i="14"/>
  <c r="E1057" i="14"/>
  <c r="G1056" i="14"/>
  <c r="F1056" i="14"/>
  <c r="E1056" i="14"/>
  <c r="G1054" i="14"/>
  <c r="F1054" i="14"/>
  <c r="E1054" i="14"/>
  <c r="E1052" i="14"/>
  <c r="G1051" i="14"/>
  <c r="E1051" i="14"/>
  <c r="G1050" i="14"/>
  <c r="E1050" i="14"/>
  <c r="G1049" i="14"/>
  <c r="E1049" i="14"/>
  <c r="G1048" i="14"/>
  <c r="E1048" i="14"/>
  <c r="G1047" i="14"/>
  <c r="F1047" i="14"/>
  <c r="E1047" i="14"/>
  <c r="G1046" i="14"/>
  <c r="E1046" i="14"/>
  <c r="G1045" i="14"/>
  <c r="E1045" i="14"/>
  <c r="G1044" i="14"/>
  <c r="E1044" i="14"/>
  <c r="G1043" i="14"/>
  <c r="E1043" i="14"/>
  <c r="G1042" i="14"/>
  <c r="E1042" i="14"/>
  <c r="E1028" i="14"/>
  <c r="G1027" i="14"/>
  <c r="E1027" i="14"/>
  <c r="H1027" i="14" s="1"/>
  <c r="H1028" i="14" s="1"/>
  <c r="H1026" i="14" s="1"/>
  <c r="F1027" i="14"/>
  <c r="G1025" i="14"/>
  <c r="F1025" i="14"/>
  <c r="E1025" i="14"/>
  <c r="E1023" i="14"/>
  <c r="G1022" i="14"/>
  <c r="E1022" i="14"/>
  <c r="G1021" i="14"/>
  <c r="E1021" i="14"/>
  <c r="G1020" i="14"/>
  <c r="E1020" i="14"/>
  <c r="G1019" i="14"/>
  <c r="E1019" i="14"/>
  <c r="G1018" i="14"/>
  <c r="E1018" i="14"/>
  <c r="G1017" i="14"/>
  <c r="E1017" i="14"/>
  <c r="G1016" i="14"/>
  <c r="E1016" i="14"/>
  <c r="G1015" i="14"/>
  <c r="E1015" i="14"/>
  <c r="F1015" i="14"/>
  <c r="G1014" i="14"/>
  <c r="E1014" i="14"/>
  <c r="E1000" i="14"/>
  <c r="G999" i="14"/>
  <c r="E999" i="14"/>
  <c r="F999" i="14"/>
  <c r="H999" i="14" s="1"/>
  <c r="H1000" i="14" s="1"/>
  <c r="H998" i="14" s="1"/>
  <c r="G997" i="14"/>
  <c r="E997" i="14"/>
  <c r="E995" i="14"/>
  <c r="G994" i="14"/>
  <c r="E994" i="14"/>
  <c r="F994" i="14"/>
  <c r="G993" i="14"/>
  <c r="E993" i="14"/>
  <c r="G992" i="14"/>
  <c r="E992" i="14"/>
  <c r="G991" i="14"/>
  <c r="E991" i="14"/>
  <c r="G990" i="14"/>
  <c r="E990" i="14"/>
  <c r="F990" i="14"/>
  <c r="G989" i="14"/>
  <c r="E989" i="14"/>
  <c r="G988" i="14"/>
  <c r="E988" i="14"/>
  <c r="G987" i="14"/>
  <c r="E987" i="14"/>
  <c r="G986" i="14"/>
  <c r="E986" i="14"/>
  <c r="E972" i="14"/>
  <c r="G971" i="14"/>
  <c r="E971" i="14"/>
  <c r="F971" i="14"/>
  <c r="G969" i="14"/>
  <c r="F969" i="14"/>
  <c r="E969" i="14"/>
  <c r="H969" i="14" s="1"/>
  <c r="H968" i="14" s="1"/>
  <c r="H975" i="14" s="1"/>
  <c r="E967" i="14"/>
  <c r="G966" i="14"/>
  <c r="E966" i="14"/>
  <c r="G965" i="14"/>
  <c r="E965" i="14"/>
  <c r="G964" i="14"/>
  <c r="E964" i="14"/>
  <c r="G963" i="14"/>
  <c r="E963" i="14"/>
  <c r="G962" i="14"/>
  <c r="E962" i="14"/>
  <c r="G961" i="14"/>
  <c r="E961" i="14"/>
  <c r="G960" i="14"/>
  <c r="E960" i="14"/>
  <c r="G959" i="14"/>
  <c r="E959" i="14"/>
  <c r="F959" i="14"/>
  <c r="G958" i="14"/>
  <c r="E958" i="14"/>
  <c r="G944" i="14"/>
  <c r="E944" i="14"/>
  <c r="H944" i="14" s="1"/>
  <c r="H943" i="14" s="1"/>
  <c r="F944" i="14"/>
  <c r="G942" i="14"/>
  <c r="F942" i="14"/>
  <c r="E942" i="14"/>
  <c r="E940" i="14"/>
  <c r="G939" i="14"/>
  <c r="E939" i="14"/>
  <c r="G938" i="14"/>
  <c r="E938" i="14"/>
  <c r="F938" i="14"/>
  <c r="H938" i="14" s="1"/>
  <c r="G937" i="14"/>
  <c r="E937" i="14"/>
  <c r="G936" i="14"/>
  <c r="E936" i="14"/>
  <c r="G935" i="14"/>
  <c r="E935" i="14"/>
  <c r="G934" i="14"/>
  <c r="E934" i="14"/>
  <c r="G933" i="14"/>
  <c r="F933" i="14"/>
  <c r="E933" i="14"/>
  <c r="G932" i="14"/>
  <c r="E932" i="14"/>
  <c r="G931" i="14"/>
  <c r="E931" i="14"/>
  <c r="G930" i="14"/>
  <c r="E930" i="14"/>
  <c r="G929" i="14"/>
  <c r="F929" i="14"/>
  <c r="E929" i="14"/>
  <c r="G915" i="14"/>
  <c r="F915" i="14"/>
  <c r="E915" i="14"/>
  <c r="E900" i="14"/>
  <c r="F900" i="14"/>
  <c r="G900" i="14"/>
  <c r="E901" i="14"/>
  <c r="G901" i="14"/>
  <c r="E902" i="14"/>
  <c r="G902" i="14"/>
  <c r="E903" i="14"/>
  <c r="G903" i="14"/>
  <c r="E904" i="14"/>
  <c r="F904" i="14"/>
  <c r="G904" i="14"/>
  <c r="E905" i="14"/>
  <c r="G905" i="14"/>
  <c r="E906" i="14"/>
  <c r="G906" i="14"/>
  <c r="E907" i="14"/>
  <c r="G907" i="14"/>
  <c r="E908" i="14"/>
  <c r="G908" i="14"/>
  <c r="E909" i="14"/>
  <c r="G909" i="14"/>
  <c r="E910" i="14"/>
  <c r="F910" i="14"/>
  <c r="G910" i="14"/>
  <c r="E911" i="14"/>
  <c r="E913" i="14"/>
  <c r="F913" i="14"/>
  <c r="G913" i="14"/>
  <c r="E828" i="14"/>
  <c r="G827" i="14"/>
  <c r="F827" i="14"/>
  <c r="E827" i="14"/>
  <c r="G826" i="14"/>
  <c r="F826" i="14"/>
  <c r="E826" i="14"/>
  <c r="G824" i="14"/>
  <c r="E824" i="14"/>
  <c r="G823" i="14"/>
  <c r="E823" i="14"/>
  <c r="E821" i="14"/>
  <c r="G820" i="14"/>
  <c r="F820" i="14"/>
  <c r="E820" i="14"/>
  <c r="G819" i="14"/>
  <c r="F819" i="14"/>
  <c r="E819" i="14"/>
  <c r="E805" i="14"/>
  <c r="G804" i="14"/>
  <c r="F804" i="14"/>
  <c r="E804" i="14"/>
  <c r="G803" i="14"/>
  <c r="F803" i="14"/>
  <c r="E803" i="14"/>
  <c r="G801" i="14"/>
  <c r="F801" i="14"/>
  <c r="E801" i="14"/>
  <c r="G800" i="14"/>
  <c r="E800" i="14"/>
  <c r="E798" i="14"/>
  <c r="G797" i="14"/>
  <c r="F797" i="14"/>
  <c r="E797" i="14"/>
  <c r="G796" i="14"/>
  <c r="F796" i="14"/>
  <c r="E796" i="14"/>
  <c r="E782" i="14"/>
  <c r="G781" i="14"/>
  <c r="F781" i="14"/>
  <c r="E781" i="14"/>
  <c r="G780" i="14"/>
  <c r="F780" i="14"/>
  <c r="E780" i="14"/>
  <c r="G778" i="14"/>
  <c r="E778" i="14"/>
  <c r="G777" i="14"/>
  <c r="E777" i="14"/>
  <c r="E775" i="14"/>
  <c r="G774" i="14"/>
  <c r="F774" i="14"/>
  <c r="E774" i="14"/>
  <c r="G773" i="14"/>
  <c r="H773" i="14" s="1"/>
  <c r="F773" i="14"/>
  <c r="E773" i="14"/>
  <c r="E759" i="14"/>
  <c r="G758" i="14"/>
  <c r="F758" i="14"/>
  <c r="E758" i="14"/>
  <c r="G757" i="14"/>
  <c r="F757" i="14"/>
  <c r="E757" i="14"/>
  <c r="G755" i="14"/>
  <c r="E755" i="14"/>
  <c r="G754" i="14"/>
  <c r="E754" i="14"/>
  <c r="E752" i="14"/>
  <c r="G751" i="14"/>
  <c r="H751" i="14" s="1"/>
  <c r="F751" i="14"/>
  <c r="E751" i="14"/>
  <c r="G750" i="14"/>
  <c r="F750" i="14"/>
  <c r="E750" i="14"/>
  <c r="G749" i="14"/>
  <c r="E749" i="14"/>
  <c r="G748" i="14"/>
  <c r="E748" i="14"/>
  <c r="E734" i="14"/>
  <c r="G733" i="14"/>
  <c r="F733" i="14"/>
  <c r="E733" i="14"/>
  <c r="G732" i="14"/>
  <c r="H732" i="14" s="1"/>
  <c r="F732" i="14"/>
  <c r="E732" i="14"/>
  <c r="G730" i="14"/>
  <c r="E730" i="14"/>
  <c r="G729" i="14"/>
  <c r="E729" i="14"/>
  <c r="E727" i="14"/>
  <c r="G726" i="14"/>
  <c r="F726" i="14"/>
  <c r="E726" i="14"/>
  <c r="H726" i="14" s="1"/>
  <c r="G725" i="14"/>
  <c r="F725" i="14"/>
  <c r="E725" i="14"/>
  <c r="H725" i="14" s="1"/>
  <c r="G724" i="14"/>
  <c r="E724" i="14"/>
  <c r="G723" i="14"/>
  <c r="E723" i="14"/>
  <c r="E709" i="14"/>
  <c r="G708" i="14"/>
  <c r="F708" i="14"/>
  <c r="E708" i="14"/>
  <c r="G707" i="14"/>
  <c r="F707" i="14"/>
  <c r="E707" i="14"/>
  <c r="G705" i="14"/>
  <c r="F705" i="14"/>
  <c r="H705" i="14" s="1"/>
  <c r="E705" i="14"/>
  <c r="G704" i="14"/>
  <c r="E704" i="14"/>
  <c r="E702" i="14"/>
  <c r="G701" i="14"/>
  <c r="F701" i="14"/>
  <c r="E701" i="14"/>
  <c r="G700" i="14"/>
  <c r="H700" i="14" s="1"/>
  <c r="F700" i="14"/>
  <c r="E700" i="14"/>
  <c r="G699" i="14"/>
  <c r="E699" i="14"/>
  <c r="G698" i="14"/>
  <c r="E698" i="14"/>
  <c r="E661" i="14"/>
  <c r="G660" i="14"/>
  <c r="F660" i="14"/>
  <c r="E660" i="14"/>
  <c r="G659" i="14"/>
  <c r="F659" i="14"/>
  <c r="E659" i="14"/>
  <c r="G657" i="14"/>
  <c r="F657" i="14"/>
  <c r="E657" i="14"/>
  <c r="G656" i="14"/>
  <c r="E656" i="14"/>
  <c r="E654" i="14"/>
  <c r="G653" i="14"/>
  <c r="F653" i="14"/>
  <c r="E653" i="14"/>
  <c r="G652" i="14"/>
  <c r="F652" i="14"/>
  <c r="E652" i="14"/>
  <c r="E565" i="14"/>
  <c r="G564" i="14"/>
  <c r="E564" i="14"/>
  <c r="G563" i="14"/>
  <c r="E563" i="14"/>
  <c r="H563" i="14" s="1"/>
  <c r="G561" i="14"/>
  <c r="E561" i="14"/>
  <c r="G560" i="14"/>
  <c r="E560" i="14"/>
  <c r="E558" i="14"/>
  <c r="G557" i="14"/>
  <c r="E557" i="14"/>
  <c r="G556" i="14"/>
  <c r="E556" i="14"/>
  <c r="G555" i="14"/>
  <c r="E555" i="14"/>
  <c r="G554" i="14"/>
  <c r="E554" i="14"/>
  <c r="E515" i="14"/>
  <c r="G514" i="14"/>
  <c r="F514" i="14"/>
  <c r="H514" i="14" s="1"/>
  <c r="E514" i="14"/>
  <c r="G513" i="14"/>
  <c r="F513" i="14"/>
  <c r="E513" i="14"/>
  <c r="G511" i="14"/>
  <c r="E511" i="14"/>
  <c r="G510" i="14"/>
  <c r="E510" i="14"/>
  <c r="E508" i="14"/>
  <c r="G507" i="14"/>
  <c r="F507" i="14"/>
  <c r="E507" i="14"/>
  <c r="G506" i="14"/>
  <c r="F506" i="14"/>
  <c r="E506" i="14"/>
  <c r="E491" i="14"/>
  <c r="G490" i="14"/>
  <c r="H490" i="14" s="1"/>
  <c r="F490" i="14"/>
  <c r="E490" i="14"/>
  <c r="G489" i="14"/>
  <c r="F489" i="14"/>
  <c r="E489" i="14"/>
  <c r="G487" i="14"/>
  <c r="F487" i="14"/>
  <c r="E487" i="14"/>
  <c r="G486" i="14"/>
  <c r="E486" i="14"/>
  <c r="E484" i="14"/>
  <c r="G483" i="14"/>
  <c r="F483" i="14"/>
  <c r="E483" i="14"/>
  <c r="G482" i="14"/>
  <c r="F482" i="14"/>
  <c r="E482" i="14"/>
  <c r="E467" i="14"/>
  <c r="G466" i="14"/>
  <c r="E466" i="14"/>
  <c r="G465" i="14"/>
  <c r="H465" i="14" s="1"/>
  <c r="E465" i="14"/>
  <c r="G463" i="14"/>
  <c r="E463" i="14"/>
  <c r="G462" i="14"/>
  <c r="E462" i="14"/>
  <c r="E460" i="14"/>
  <c r="G459" i="14"/>
  <c r="E459" i="14"/>
  <c r="G458" i="14"/>
  <c r="E458" i="14"/>
  <c r="E419" i="14"/>
  <c r="G418" i="14"/>
  <c r="H418" i="14" s="1"/>
  <c r="F418" i="14"/>
  <c r="E418" i="14"/>
  <c r="G417" i="14"/>
  <c r="F417" i="14"/>
  <c r="E417" i="14"/>
  <c r="G415" i="14"/>
  <c r="H415" i="14" s="1"/>
  <c r="F415" i="14"/>
  <c r="E415" i="14"/>
  <c r="G414" i="14"/>
  <c r="E414" i="14"/>
  <c r="E412" i="14"/>
  <c r="G411" i="14"/>
  <c r="F411" i="14"/>
  <c r="E411" i="14"/>
  <c r="G410" i="14"/>
  <c r="H410" i="14" s="1"/>
  <c r="F410" i="14"/>
  <c r="E410" i="14"/>
  <c r="E395" i="14"/>
  <c r="G394" i="14"/>
  <c r="F394" i="14"/>
  <c r="E394" i="14"/>
  <c r="G393" i="14"/>
  <c r="F393" i="14"/>
  <c r="E393" i="14"/>
  <c r="G391" i="14"/>
  <c r="E391" i="14"/>
  <c r="G390" i="14"/>
  <c r="E390" i="14"/>
  <c r="E388" i="14"/>
  <c r="G387" i="14"/>
  <c r="F387" i="14"/>
  <c r="E387" i="14"/>
  <c r="G386" i="14"/>
  <c r="F386" i="14"/>
  <c r="E386" i="14"/>
  <c r="E371" i="14"/>
  <c r="G370" i="14"/>
  <c r="F370" i="14"/>
  <c r="E370" i="14"/>
  <c r="G369" i="14"/>
  <c r="F369" i="14"/>
  <c r="E369" i="14"/>
  <c r="G367" i="14"/>
  <c r="F367" i="14"/>
  <c r="E367" i="14"/>
  <c r="G366" i="14"/>
  <c r="E366" i="14"/>
  <c r="E364" i="14"/>
  <c r="G363" i="14"/>
  <c r="F363" i="14"/>
  <c r="E363" i="14"/>
  <c r="G362" i="14"/>
  <c r="F362" i="14"/>
  <c r="E362" i="14"/>
  <c r="E323" i="14"/>
  <c r="G322" i="14"/>
  <c r="F322" i="14"/>
  <c r="E322" i="14"/>
  <c r="G321" i="14"/>
  <c r="F321" i="14"/>
  <c r="E321" i="14"/>
  <c r="G319" i="14"/>
  <c r="H319" i="14" s="1"/>
  <c r="F319" i="14"/>
  <c r="E319" i="14"/>
  <c r="G318" i="14"/>
  <c r="E318" i="14"/>
  <c r="E316" i="14"/>
  <c r="G315" i="14"/>
  <c r="F315" i="14"/>
  <c r="E315" i="14"/>
  <c r="G314" i="14"/>
  <c r="F314" i="14"/>
  <c r="E314" i="14"/>
  <c r="E299" i="14"/>
  <c r="G298" i="14"/>
  <c r="F298" i="14"/>
  <c r="E298" i="14"/>
  <c r="G297" i="14"/>
  <c r="H297" i="14" s="1"/>
  <c r="F297" i="14"/>
  <c r="E297" i="14"/>
  <c r="G295" i="14"/>
  <c r="E295" i="14"/>
  <c r="G294" i="14"/>
  <c r="E294" i="14"/>
  <c r="E292" i="14"/>
  <c r="G291" i="14"/>
  <c r="F291" i="14"/>
  <c r="E291" i="14"/>
  <c r="G290" i="14"/>
  <c r="F290" i="14"/>
  <c r="E290" i="14"/>
  <c r="H290" i="14" s="1"/>
  <c r="E251" i="14"/>
  <c r="G250" i="14"/>
  <c r="F250" i="14"/>
  <c r="H250" i="14" s="1"/>
  <c r="E250" i="14"/>
  <c r="G249" i="14"/>
  <c r="F249" i="14"/>
  <c r="E249" i="14"/>
  <c r="G247" i="14"/>
  <c r="F247" i="14"/>
  <c r="E247" i="14"/>
  <c r="G246" i="14"/>
  <c r="E246" i="14"/>
  <c r="E244" i="14"/>
  <c r="G243" i="14"/>
  <c r="F243" i="14"/>
  <c r="E243" i="14"/>
  <c r="G242" i="14"/>
  <c r="F242" i="14"/>
  <c r="E242" i="14"/>
  <c r="E203" i="14"/>
  <c r="G202" i="14"/>
  <c r="F202" i="14"/>
  <c r="E202" i="14"/>
  <c r="G200" i="14"/>
  <c r="E200" i="14"/>
  <c r="G199" i="14"/>
  <c r="E199" i="14"/>
  <c r="E197" i="14"/>
  <c r="G196" i="14"/>
  <c r="F196" i="14"/>
  <c r="E196" i="14"/>
  <c r="G195" i="14"/>
  <c r="F195" i="14"/>
  <c r="E195" i="14"/>
  <c r="G194" i="14"/>
  <c r="E194" i="14"/>
  <c r="G193" i="14"/>
  <c r="F193" i="14"/>
  <c r="E193" i="14"/>
  <c r="G192" i="14"/>
  <c r="F192" i="14"/>
  <c r="E192" i="14"/>
  <c r="G191" i="14"/>
  <c r="E191" i="14"/>
  <c r="E177" i="14"/>
  <c r="G176" i="14"/>
  <c r="F176" i="14"/>
  <c r="E176" i="14"/>
  <c r="H176" i="14" s="1"/>
  <c r="H177" i="14" s="1"/>
  <c r="H175" i="14" s="1"/>
  <c r="G174" i="14"/>
  <c r="E174" i="14"/>
  <c r="G173" i="14"/>
  <c r="E173" i="14"/>
  <c r="E171" i="14"/>
  <c r="G170" i="14"/>
  <c r="H170" i="14" s="1"/>
  <c r="F170" i="14"/>
  <c r="E170" i="14"/>
  <c r="G169" i="14"/>
  <c r="F169" i="14"/>
  <c r="E169" i="14"/>
  <c r="G168" i="14"/>
  <c r="E168" i="14"/>
  <c r="G167" i="14"/>
  <c r="F167" i="14"/>
  <c r="E167" i="14"/>
  <c r="H167" i="14" s="1"/>
  <c r="G166" i="14"/>
  <c r="F166" i="14"/>
  <c r="E166" i="14"/>
  <c r="G165" i="14"/>
  <c r="E165" i="14"/>
  <c r="E151" i="14"/>
  <c r="G150" i="14"/>
  <c r="F150" i="14"/>
  <c r="E150" i="14"/>
  <c r="G148" i="14"/>
  <c r="E148" i="14"/>
  <c r="G147" i="14"/>
  <c r="E147" i="14"/>
  <c r="E145" i="14"/>
  <c r="G144" i="14"/>
  <c r="F144" i="14"/>
  <c r="E144" i="14"/>
  <c r="G143" i="14"/>
  <c r="F143" i="14"/>
  <c r="H143" i="14" s="1"/>
  <c r="E143" i="14"/>
  <c r="G142" i="14"/>
  <c r="H142" i="14" s="1"/>
  <c r="F142" i="14"/>
  <c r="E142" i="14"/>
  <c r="G141" i="14"/>
  <c r="F141" i="14"/>
  <c r="E141" i="14"/>
  <c r="G140" i="14"/>
  <c r="F140" i="14"/>
  <c r="E140" i="14"/>
  <c r="H140" i="14" s="1"/>
  <c r="G139" i="14"/>
  <c r="E139" i="14"/>
  <c r="E125" i="14"/>
  <c r="G124" i="14"/>
  <c r="F124" i="14"/>
  <c r="E124" i="14"/>
  <c r="H124" i="14" s="1"/>
  <c r="G122" i="14"/>
  <c r="E122" i="14"/>
  <c r="G121" i="14"/>
  <c r="E121" i="14"/>
  <c r="E119" i="14"/>
  <c r="G118" i="14"/>
  <c r="F118" i="14"/>
  <c r="E118" i="14"/>
  <c r="G117" i="14"/>
  <c r="F117" i="14"/>
  <c r="E117" i="14"/>
  <c r="G116" i="14"/>
  <c r="E116" i="14"/>
  <c r="G115" i="14"/>
  <c r="F115" i="14"/>
  <c r="E115" i="14"/>
  <c r="G114" i="14"/>
  <c r="F114" i="14"/>
  <c r="E114" i="14"/>
  <c r="G113" i="14"/>
  <c r="E113" i="14"/>
  <c r="E99" i="14"/>
  <c r="G98" i="14"/>
  <c r="F98" i="14"/>
  <c r="E98" i="14"/>
  <c r="H98" i="14" s="1"/>
  <c r="H99" i="14" s="1"/>
  <c r="H97" i="14" s="1"/>
  <c r="G96" i="14"/>
  <c r="E96" i="14"/>
  <c r="G95" i="14"/>
  <c r="E95" i="14"/>
  <c r="E93" i="14"/>
  <c r="G92" i="14"/>
  <c r="F92" i="14"/>
  <c r="H92" i="14" s="1"/>
  <c r="E92" i="14"/>
  <c r="G91" i="14"/>
  <c r="F91" i="14"/>
  <c r="E91" i="14"/>
  <c r="G90" i="14"/>
  <c r="F90" i="14"/>
  <c r="E90" i="14"/>
  <c r="G89" i="14"/>
  <c r="F89" i="14"/>
  <c r="E89" i="14"/>
  <c r="H89" i="14" s="1"/>
  <c r="G88" i="14"/>
  <c r="F88" i="14"/>
  <c r="E88" i="14"/>
  <c r="G87" i="14"/>
  <c r="F87" i="14"/>
  <c r="E87" i="14"/>
  <c r="H87" i="14" s="1"/>
  <c r="G86" i="14"/>
  <c r="E86" i="14"/>
  <c r="E51" i="14"/>
  <c r="G50" i="14"/>
  <c r="F50" i="14"/>
  <c r="E50" i="14"/>
  <c r="G48" i="14"/>
  <c r="E48" i="14"/>
  <c r="G47" i="14"/>
  <c r="E47" i="14"/>
  <c r="E45" i="14"/>
  <c r="G44" i="14"/>
  <c r="F44" i="14"/>
  <c r="E44" i="14"/>
  <c r="E30" i="14"/>
  <c r="G29" i="14"/>
  <c r="F29" i="14"/>
  <c r="E29" i="14"/>
  <c r="G27" i="14"/>
  <c r="E27" i="14"/>
  <c r="G26" i="14"/>
  <c r="E26" i="14"/>
  <c r="E24" i="14"/>
  <c r="G23" i="14"/>
  <c r="F23" i="14"/>
  <c r="E23" i="14"/>
  <c r="F1291" i="14"/>
  <c r="H1291" i="14" s="1"/>
  <c r="H1290" i="14" s="1"/>
  <c r="F1312" i="14"/>
  <c r="H1312" i="14" s="1"/>
  <c r="H1311" i="14" s="1"/>
  <c r="H1320" i="14" s="1"/>
  <c r="F1389" i="14"/>
  <c r="H1389" i="14" s="1"/>
  <c r="H1388" i="14" s="1"/>
  <c r="H1397" i="14" s="1"/>
  <c r="F1443" i="14"/>
  <c r="F1501" i="14"/>
  <c r="H538" i="14"/>
  <c r="H539" i="14"/>
  <c r="F223" i="14"/>
  <c r="F634" i="14"/>
  <c r="H634" i="14" s="1"/>
  <c r="F69" i="14"/>
  <c r="F271" i="14"/>
  <c r="F611" i="14"/>
  <c r="H1197" i="14"/>
  <c r="H1198" i="14" s="1"/>
  <c r="H1196" i="14" s="1"/>
  <c r="H1345" i="14"/>
  <c r="H1473" i="14"/>
  <c r="H1424" i="14"/>
  <c r="H1422" i="14"/>
  <c r="H886" i="14"/>
  <c r="H885" i="14" s="1"/>
  <c r="H346" i="14"/>
  <c r="H65" i="14"/>
  <c r="H66" i="14" s="1"/>
  <c r="H64" i="14" s="1"/>
  <c r="H803" i="14"/>
  <c r="H1445" i="14"/>
  <c r="H1472" i="14"/>
  <c r="H683" i="14"/>
  <c r="H1315" i="14"/>
  <c r="H1536" i="14"/>
  <c r="H675" i="14"/>
  <c r="H202" i="14"/>
  <c r="H203" i="14" s="1"/>
  <c r="H201" i="14" s="1"/>
  <c r="H118" i="14"/>
  <c r="H141" i="14"/>
  <c r="H315" i="14"/>
  <c r="H990" i="14"/>
  <c r="H1047" i="14"/>
  <c r="H531" i="14"/>
  <c r="H192" i="14"/>
  <c r="H394" i="14"/>
  <c r="H417" i="14"/>
  <c r="H482" i="14"/>
  <c r="H489" i="14"/>
  <c r="H750" i="14"/>
  <c r="H1534" i="14"/>
  <c r="H1464" i="14"/>
  <c r="H71" i="14"/>
  <c r="H72" i="14" s="1"/>
  <c r="H70" i="14" s="1"/>
  <c r="H971" i="14"/>
  <c r="H169" i="14"/>
  <c r="H708" i="14"/>
  <c r="H758" i="14"/>
  <c r="H826" i="14"/>
  <c r="H1505" i="14"/>
  <c r="H1511" i="14"/>
  <c r="H1506" i="14"/>
  <c r="H1512" i="14"/>
  <c r="H1537" i="14"/>
  <c r="H880" i="14"/>
  <c r="H247" i="14"/>
  <c r="H225" i="14" l="1"/>
  <c r="H223" i="14"/>
  <c r="H1498" i="14"/>
  <c r="H564" i="14"/>
  <c r="H929" i="14"/>
  <c r="H1271" i="14"/>
  <c r="H1270" i="14" s="1"/>
  <c r="H876" i="14"/>
  <c r="H273" i="14"/>
  <c r="H271" i="14"/>
  <c r="H1015" i="14"/>
  <c r="H1076" i="14"/>
  <c r="H910" i="14"/>
  <c r="H69" i="14"/>
  <c r="H1025" i="14"/>
  <c r="H1024" i="14" s="1"/>
  <c r="H1031" i="14" s="1"/>
  <c r="H1056" i="14"/>
  <c r="H1057" i="14" s="1"/>
  <c r="H1055" i="14" s="1"/>
  <c r="H659" i="14"/>
  <c r="H723" i="14"/>
  <c r="F1528" i="14"/>
  <c r="H1528" i="14" s="1"/>
  <c r="H1470" i="14"/>
  <c r="H88" i="14"/>
  <c r="H196" i="14"/>
  <c r="H369" i="14"/>
  <c r="H371" i="14" s="1"/>
  <c r="H368" i="14" s="1"/>
  <c r="H660" i="14"/>
  <c r="H820" i="14"/>
  <c r="H913" i="14"/>
  <c r="H912" i="14" s="1"/>
  <c r="H918" i="14" s="1"/>
  <c r="H904" i="14"/>
  <c r="H959" i="14"/>
  <c r="H1383" i="14"/>
  <c r="H1448" i="14"/>
  <c r="H1509" i="14"/>
  <c r="H1298" i="14"/>
  <c r="H652" i="14"/>
  <c r="H1249" i="14"/>
  <c r="H1248" i="14" s="1"/>
  <c r="H1295" i="14"/>
  <c r="H1474" i="14"/>
  <c r="H291" i="14"/>
  <c r="H362" i="14"/>
  <c r="H370" i="14"/>
  <c r="H487" i="14"/>
  <c r="H653" i="14"/>
  <c r="H1449" i="14"/>
  <c r="H90" i="14"/>
  <c r="H781" i="14"/>
  <c r="H1054" i="14"/>
  <c r="H1053" i="14" s="1"/>
  <c r="H1060" i="14" s="1"/>
  <c r="H1085" i="14"/>
  <c r="H1086" i="14" s="1"/>
  <c r="H1084" i="14" s="1"/>
  <c r="H367" i="14"/>
  <c r="H1447" i="14"/>
  <c r="H1450" i="14" s="1"/>
  <c r="H1444" i="14" s="1"/>
  <c r="H611" i="14"/>
  <c r="H506" i="14"/>
  <c r="F874" i="14"/>
  <c r="H874" i="14" s="1"/>
  <c r="H1423" i="14"/>
  <c r="H1425" i="14" s="1"/>
  <c r="H1420" i="14" s="1"/>
  <c r="H682" i="14"/>
  <c r="H91" i="14"/>
  <c r="H363" i="14"/>
  <c r="H364" i="14" s="1"/>
  <c r="H361" i="14" s="1"/>
  <c r="H513" i="14"/>
  <c r="H515" i="14" s="1"/>
  <c r="H512" i="14" s="1"/>
  <c r="H933" i="14"/>
  <c r="H321" i="14"/>
  <c r="H613" i="14"/>
  <c r="H615" i="14" s="1"/>
  <c r="H612" i="14" s="1"/>
  <c r="H114" i="14"/>
  <c r="H701" i="14"/>
  <c r="H1526" i="14"/>
  <c r="H1529" i="14" s="1"/>
  <c r="H1525" i="14" s="1"/>
  <c r="H144" i="14"/>
  <c r="H801" i="14"/>
  <c r="H900" i="14"/>
  <c r="H994" i="14"/>
  <c r="H166" i="14"/>
  <c r="H298" i="14"/>
  <c r="H411" i="14"/>
  <c r="H780" i="14"/>
  <c r="H387" i="14"/>
  <c r="H774" i="14"/>
  <c r="H775" i="14" s="1"/>
  <c r="H772" i="14" s="1"/>
  <c r="H796" i="14"/>
  <c r="H827" i="14"/>
  <c r="H828" i="14" s="1"/>
  <c r="H825" i="14" s="1"/>
  <c r="H915" i="14"/>
  <c r="H914" i="14" s="1"/>
  <c r="H1169" i="14"/>
  <c r="H1170" i="14" s="1"/>
  <c r="H1168" i="14" s="1"/>
  <c r="H1241" i="14"/>
  <c r="H986" i="14"/>
  <c r="F1134" i="14"/>
  <c r="H1134" i="14" s="1"/>
  <c r="F1440" i="14"/>
  <c r="H1440" i="14" s="1"/>
  <c r="H1263" i="14"/>
  <c r="F1385" i="14"/>
  <c r="H1385" i="14" s="1"/>
  <c r="Q21" i="26"/>
  <c r="F1219" i="14"/>
  <c r="H1219" i="14" s="1"/>
  <c r="H10" i="14"/>
  <c r="H13" i="14" s="1"/>
  <c r="H11" i="14" s="1"/>
  <c r="H14" i="14" s="1"/>
  <c r="F748" i="14"/>
  <c r="H748" i="14" s="1"/>
  <c r="R21" i="26"/>
  <c r="R20" i="26" s="1"/>
  <c r="F698" i="14"/>
  <c r="H698" i="14" s="1"/>
  <c r="F1465" i="14"/>
  <c r="H1465" i="14" s="1"/>
  <c r="H1466" i="14" s="1"/>
  <c r="H1463" i="14" s="1"/>
  <c r="F986" i="14"/>
  <c r="F1020" i="14"/>
  <c r="H1020" i="14" s="1"/>
  <c r="F1072" i="14"/>
  <c r="H1072" i="14" s="1"/>
  <c r="H1142" i="14"/>
  <c r="H1140" i="14" s="1"/>
  <c r="H125" i="14"/>
  <c r="H123" i="14" s="1"/>
  <c r="F1411" i="14"/>
  <c r="H1411" i="14" s="1"/>
  <c r="F902" i="14"/>
  <c r="H902" i="14" s="1"/>
  <c r="F931" i="14"/>
  <c r="H931" i="14" s="1"/>
  <c r="F1408" i="14"/>
  <c r="H1408" i="14" s="1"/>
  <c r="F165" i="14"/>
  <c r="H165" i="14" s="1"/>
  <c r="F1043" i="14"/>
  <c r="H1043" i="14" s="1"/>
  <c r="H1501" i="14"/>
  <c r="H1500" i="14" s="1"/>
  <c r="H1515" i="14" s="1"/>
  <c r="F908" i="14"/>
  <c r="H908" i="14" s="1"/>
  <c r="F1382" i="14"/>
  <c r="H1382" i="14" s="1"/>
  <c r="F113" i="14"/>
  <c r="H972" i="14"/>
  <c r="H970" i="14" s="1"/>
  <c r="H1443" i="14"/>
  <c r="H1442" i="14" s="1"/>
  <c r="H1453" i="14" s="1"/>
  <c r="H1333" i="14"/>
  <c r="H1244" i="14"/>
  <c r="F1266" i="14"/>
  <c r="H1266" i="14" s="1"/>
  <c r="F965" i="14"/>
  <c r="H965" i="14" s="1"/>
  <c r="H1287" i="14"/>
  <c r="F1156" i="14"/>
  <c r="H1156" i="14" s="1"/>
  <c r="F1285" i="14"/>
  <c r="H1285" i="14" s="1"/>
  <c r="F1309" i="14"/>
  <c r="H1309" i="14" s="1"/>
  <c r="H1310" i="14" s="1"/>
  <c r="H1308" i="14" s="1"/>
  <c r="P26" i="15"/>
  <c r="F1294" i="14" s="1"/>
  <c r="H1294" i="14" s="1"/>
  <c r="H1213" i="14"/>
  <c r="H1335" i="14"/>
  <c r="H1439" i="14"/>
  <c r="H1441" i="14" s="1"/>
  <c r="H1438" i="14" s="1"/>
  <c r="H1331" i="14"/>
  <c r="H1212" i="14"/>
  <c r="H168" i="14"/>
  <c r="H171" i="14" s="1"/>
  <c r="H164" i="14" s="1"/>
  <c r="H1078" i="14"/>
  <c r="F1364" i="14"/>
  <c r="H1364" i="14" s="1"/>
  <c r="H1363" i="14" s="1"/>
  <c r="H1371" i="14" s="1"/>
  <c r="H1384" i="14"/>
  <c r="F1264" i="14"/>
  <c r="H1264" i="14" s="1"/>
  <c r="F194" i="14"/>
  <c r="H194" i="14" s="1"/>
  <c r="F964" i="14"/>
  <c r="H964" i="14" s="1"/>
  <c r="F1017" i="14"/>
  <c r="H1017" i="14" s="1"/>
  <c r="F1042" i="14"/>
  <c r="H1042" i="14" s="1"/>
  <c r="F1071" i="14"/>
  <c r="H1071" i="14" s="1"/>
  <c r="F1131" i="14"/>
  <c r="H1131" i="14" s="1"/>
  <c r="F1191" i="14"/>
  <c r="H1191" i="14" s="1"/>
  <c r="F1216" i="14"/>
  <c r="H1216" i="14" s="1"/>
  <c r="P35" i="15"/>
  <c r="F1293" i="14" s="1"/>
  <c r="H1293" i="14" s="1"/>
  <c r="H1292" i="14" s="1"/>
  <c r="H1493" i="14"/>
  <c r="H1337" i="14"/>
  <c r="H1489" i="14"/>
  <c r="H1339" i="14"/>
  <c r="H605" i="14"/>
  <c r="F116" i="14"/>
  <c r="H116" i="14" s="1"/>
  <c r="F936" i="14"/>
  <c r="H936" i="14" s="1"/>
  <c r="F961" i="14"/>
  <c r="H961" i="14" s="1"/>
  <c r="F1049" i="14"/>
  <c r="H1049" i="14" s="1"/>
  <c r="F1162" i="14"/>
  <c r="H1162" i="14" s="1"/>
  <c r="F1190" i="14"/>
  <c r="H1190" i="14" s="1"/>
  <c r="F1195" i="14"/>
  <c r="H1195" i="14" s="1"/>
  <c r="H1194" i="14" s="1"/>
  <c r="H1201" i="14" s="1"/>
  <c r="F1247" i="14"/>
  <c r="H1247" i="14" s="1"/>
  <c r="H1246" i="14" s="1"/>
  <c r="H1252" i="14" s="1"/>
  <c r="F878" i="14"/>
  <c r="H878" i="14" s="1"/>
  <c r="H412" i="14"/>
  <c r="H409" i="14" s="1"/>
  <c r="F992" i="14"/>
  <c r="H992" i="14" s="1"/>
  <c r="F1021" i="14"/>
  <c r="H1021" i="14" s="1"/>
  <c r="F1083" i="14"/>
  <c r="H1083" i="14" s="1"/>
  <c r="H1082" i="14" s="1"/>
  <c r="H1089" i="14" s="1"/>
  <c r="F1135" i="14"/>
  <c r="H1135" i="14" s="1"/>
  <c r="F1187" i="14"/>
  <c r="H1187" i="14" s="1"/>
  <c r="F1220" i="14"/>
  <c r="H1220" i="14" s="1"/>
  <c r="F1342" i="14"/>
  <c r="H1342" i="14" s="1"/>
  <c r="H1341" i="14" s="1"/>
  <c r="H1349" i="14" s="1"/>
  <c r="F1491" i="14"/>
  <c r="H1491" i="14" s="1"/>
  <c r="H680" i="14"/>
  <c r="F963" i="14"/>
  <c r="H963" i="14" s="1"/>
  <c r="F988" i="14"/>
  <c r="H988" i="14" s="1"/>
  <c r="F1051" i="14"/>
  <c r="H1051" i="14" s="1"/>
  <c r="F1164" i="14"/>
  <c r="H1164" i="14" s="1"/>
  <c r="F1527" i="14"/>
  <c r="H1527" i="14" s="1"/>
  <c r="F343" i="14"/>
  <c r="H343" i="14" s="1"/>
  <c r="F906" i="14"/>
  <c r="H906" i="14" s="1"/>
  <c r="F935" i="14"/>
  <c r="H935" i="14" s="1"/>
  <c r="F1019" i="14"/>
  <c r="H1019" i="14" s="1"/>
  <c r="F1045" i="14"/>
  <c r="H1045" i="14" s="1"/>
  <c r="F1133" i="14"/>
  <c r="H1133" i="14" s="1"/>
  <c r="F1158" i="14"/>
  <c r="H1158" i="14" s="1"/>
  <c r="F1218" i="14"/>
  <c r="H1218" i="14" s="1"/>
  <c r="F1468" i="14"/>
  <c r="H1468" i="14" s="1"/>
  <c r="H1467" i="14" s="1"/>
  <c r="H1478" i="14" s="1"/>
  <c r="F1360" i="14"/>
  <c r="H1360" i="14" s="1"/>
  <c r="F1585" i="14"/>
  <c r="H1585" i="14" s="1"/>
  <c r="F1552" i="14"/>
  <c r="H1552" i="14" s="1"/>
  <c r="F529" i="14"/>
  <c r="F554" i="14"/>
  <c r="F579" i="14"/>
  <c r="H579" i="14" s="1"/>
  <c r="F1080" i="14"/>
  <c r="H1080" i="14" s="1"/>
  <c r="F1189" i="14"/>
  <c r="H1189" i="14" s="1"/>
  <c r="F1415" i="14"/>
  <c r="H1415" i="14" s="1"/>
  <c r="F1589" i="14"/>
  <c r="H1589" i="14" s="1"/>
  <c r="F1556" i="14"/>
  <c r="H1556" i="14" s="1"/>
  <c r="F873" i="14"/>
  <c r="H873" i="14" s="1"/>
  <c r="F218" i="14"/>
  <c r="H218" i="14" s="1"/>
  <c r="F556" i="14"/>
  <c r="H556" i="14" s="1"/>
  <c r="F581" i="14"/>
  <c r="H581" i="14" s="1"/>
  <c r="T24" i="26"/>
  <c r="I7" i="15"/>
  <c r="P7" i="15" s="1"/>
  <c r="F96" i="14" s="1"/>
  <c r="H96" i="14" s="1"/>
  <c r="I4" i="15"/>
  <c r="P4" i="15" s="1"/>
  <c r="F438" i="14" s="1"/>
  <c r="H438" i="14" s="1"/>
  <c r="F1361" i="14"/>
  <c r="F1588" i="14"/>
  <c r="H1588" i="14" s="1"/>
  <c r="F1555" i="14"/>
  <c r="H1555" i="14" s="1"/>
  <c r="F630" i="14"/>
  <c r="H630" i="14" s="1"/>
  <c r="H631" i="14" s="1"/>
  <c r="H628" i="14" s="1"/>
  <c r="F582" i="14"/>
  <c r="H582" i="14" s="1"/>
  <c r="F557" i="14"/>
  <c r="H557" i="14" s="1"/>
  <c r="F530" i="14"/>
  <c r="H530" i="14" s="1"/>
  <c r="F580" i="14"/>
  <c r="H580" i="14" s="1"/>
  <c r="F555" i="14"/>
  <c r="H555" i="14" s="1"/>
  <c r="F586" i="14"/>
  <c r="H586" i="14" s="1"/>
  <c r="F561" i="14"/>
  <c r="H561" i="14" s="1"/>
  <c r="F1594" i="14"/>
  <c r="H1594" i="14" s="1"/>
  <c r="H1593" i="14" s="1"/>
  <c r="F1561" i="14"/>
  <c r="H1561" i="14" s="1"/>
  <c r="H1560" i="14" s="1"/>
  <c r="F1114" i="14"/>
  <c r="H1114" i="14" s="1"/>
  <c r="H1113" i="14" s="1"/>
  <c r="H782" i="14"/>
  <c r="H779" i="14" s="1"/>
  <c r="H340" i="14"/>
  <c r="H337" i="14" s="1"/>
  <c r="I5" i="15"/>
  <c r="P5" i="15" s="1"/>
  <c r="R11" i="26"/>
  <c r="P30" i="15"/>
  <c r="F1533" i="14" s="1"/>
  <c r="H419" i="14"/>
  <c r="H416" i="14" s="1"/>
  <c r="H29" i="14"/>
  <c r="H30" i="14" s="1"/>
  <c r="H28" i="14" s="1"/>
  <c r="H44" i="14"/>
  <c r="H45" i="14" s="1"/>
  <c r="H43" i="14" s="1"/>
  <c r="H1416" i="14"/>
  <c r="H1414" i="14"/>
  <c r="H1412" i="14"/>
  <c r="H1409" i="14"/>
  <c r="H851" i="14"/>
  <c r="H849" i="14"/>
  <c r="H847" i="14"/>
  <c r="H845" i="14"/>
  <c r="H636" i="14"/>
  <c r="H638" i="14" s="1"/>
  <c r="H635" i="14" s="1"/>
  <c r="H529" i="14"/>
  <c r="H1286" i="14"/>
  <c r="H1184" i="14"/>
  <c r="H1497" i="14"/>
  <c r="H1288" i="14"/>
  <c r="H1490" i="14"/>
  <c r="H1338" i="14"/>
  <c r="H1215" i="14"/>
  <c r="H1242" i="14"/>
  <c r="H1161" i="14"/>
  <c r="H1265" i="14"/>
  <c r="H1393" i="14"/>
  <c r="H1394" i="14" s="1"/>
  <c r="H1390" i="14" s="1"/>
  <c r="H850" i="14"/>
  <c r="H848" i="14"/>
  <c r="H846" i="14"/>
  <c r="S21" i="26"/>
  <c r="S20" i="26" s="1"/>
  <c r="S11" i="26"/>
  <c r="H249" i="14"/>
  <c r="H251" i="14" s="1"/>
  <c r="H248" i="14" s="1"/>
  <c r="H565" i="14"/>
  <c r="H562" i="14" s="1"/>
  <c r="H227" i="14"/>
  <c r="H224" i="14" s="1"/>
  <c r="H347" i="14"/>
  <c r="H344" i="14" s="1"/>
  <c r="F27" i="14"/>
  <c r="H27" i="14" s="1"/>
  <c r="F48" i="14"/>
  <c r="H48" i="14" s="1"/>
  <c r="F86" i="14"/>
  <c r="H86" i="14" s="1"/>
  <c r="F122" i="14"/>
  <c r="H122" i="14" s="1"/>
  <c r="F139" i="14"/>
  <c r="H139" i="14" s="1"/>
  <c r="F148" i="14"/>
  <c r="H148" i="14" s="1"/>
  <c r="F174" i="14"/>
  <c r="H174" i="14" s="1"/>
  <c r="F191" i="14"/>
  <c r="H191" i="14" s="1"/>
  <c r="F200" i="14"/>
  <c r="H200" i="14" s="1"/>
  <c r="F295" i="14"/>
  <c r="H295" i="14" s="1"/>
  <c r="F391" i="14"/>
  <c r="H391" i="14" s="1"/>
  <c r="F511" i="14"/>
  <c r="H511" i="14" s="1"/>
  <c r="H554" i="14"/>
  <c r="F699" i="14"/>
  <c r="H699" i="14" s="1"/>
  <c r="F724" i="14"/>
  <c r="H724" i="14" s="1"/>
  <c r="H727" i="14" s="1"/>
  <c r="H722" i="14" s="1"/>
  <c r="F730" i="14"/>
  <c r="H730" i="14" s="1"/>
  <c r="F749" i="14"/>
  <c r="H749" i="14" s="1"/>
  <c r="F755" i="14"/>
  <c r="H755" i="14" s="1"/>
  <c r="F778" i="14"/>
  <c r="H778" i="14" s="1"/>
  <c r="H819" i="14"/>
  <c r="H821" i="14" s="1"/>
  <c r="H818" i="14" s="1"/>
  <c r="F824" i="14"/>
  <c r="H824" i="14" s="1"/>
  <c r="F909" i="14"/>
  <c r="H909" i="14" s="1"/>
  <c r="F907" i="14"/>
  <c r="H907" i="14" s="1"/>
  <c r="F905" i="14"/>
  <c r="H905" i="14" s="1"/>
  <c r="F903" i="14"/>
  <c r="H903" i="14" s="1"/>
  <c r="F901" i="14"/>
  <c r="H901" i="14" s="1"/>
  <c r="F930" i="14"/>
  <c r="H930" i="14" s="1"/>
  <c r="F932" i="14"/>
  <c r="H932" i="14" s="1"/>
  <c r="F934" i="14"/>
  <c r="H934" i="14" s="1"/>
  <c r="F937" i="14"/>
  <c r="H937" i="14" s="1"/>
  <c r="F939" i="14"/>
  <c r="H939" i="14" s="1"/>
  <c r="F958" i="14"/>
  <c r="H958" i="14" s="1"/>
  <c r="F960" i="14"/>
  <c r="H960" i="14" s="1"/>
  <c r="F962" i="14"/>
  <c r="H962" i="14" s="1"/>
  <c r="F966" i="14"/>
  <c r="H966" i="14" s="1"/>
  <c r="F987" i="14"/>
  <c r="H987" i="14" s="1"/>
  <c r="F989" i="14"/>
  <c r="H989" i="14" s="1"/>
  <c r="F991" i="14"/>
  <c r="H991" i="14" s="1"/>
  <c r="F993" i="14"/>
  <c r="H993" i="14" s="1"/>
  <c r="F997" i="14"/>
  <c r="H997" i="14" s="1"/>
  <c r="H996" i="14" s="1"/>
  <c r="H1003" i="14" s="1"/>
  <c r="F1014" i="14"/>
  <c r="H1014" i="14" s="1"/>
  <c r="F1016" i="14"/>
  <c r="H1016" i="14" s="1"/>
  <c r="F1018" i="14"/>
  <c r="H1018" i="14" s="1"/>
  <c r="F1022" i="14"/>
  <c r="H1022" i="14" s="1"/>
  <c r="F1044" i="14"/>
  <c r="H1044" i="14" s="1"/>
  <c r="F1046" i="14"/>
  <c r="H1046" i="14" s="1"/>
  <c r="F1048" i="14"/>
  <c r="H1048" i="14" s="1"/>
  <c r="F1050" i="14"/>
  <c r="H1050" i="14" s="1"/>
  <c r="F1073" i="14"/>
  <c r="H1073" i="14" s="1"/>
  <c r="F1075" i="14"/>
  <c r="H1075" i="14" s="1"/>
  <c r="F1077" i="14"/>
  <c r="H1077" i="14" s="1"/>
  <c r="F1079" i="14"/>
  <c r="H1079" i="14" s="1"/>
  <c r="F1128" i="14"/>
  <c r="H1128" i="14" s="1"/>
  <c r="F1130" i="14"/>
  <c r="H1130" i="14" s="1"/>
  <c r="F1132" i="14"/>
  <c r="H1132" i="14" s="1"/>
  <c r="F1136" i="14"/>
  <c r="H1136" i="14" s="1"/>
  <c r="F1157" i="14"/>
  <c r="H1157" i="14" s="1"/>
  <c r="F1159" i="14"/>
  <c r="H1159" i="14" s="1"/>
  <c r="F1163" i="14"/>
  <c r="H1163" i="14" s="1"/>
  <c r="F1167" i="14"/>
  <c r="H1167" i="14" s="1"/>
  <c r="H1166" i="14" s="1"/>
  <c r="H1173" i="14" s="1"/>
  <c r="F1186" i="14"/>
  <c r="H1186" i="14" s="1"/>
  <c r="F1188" i="14"/>
  <c r="H1188" i="14" s="1"/>
  <c r="F1192" i="14"/>
  <c r="H1192" i="14" s="1"/>
  <c r="F1217" i="14"/>
  <c r="H1217" i="14" s="1"/>
  <c r="F1221" i="14"/>
  <c r="H1221" i="14" s="1"/>
  <c r="F1224" i="14"/>
  <c r="H1224" i="14" s="1"/>
  <c r="H1223" i="14" s="1"/>
  <c r="H1230" i="14" s="1"/>
  <c r="F1269" i="14"/>
  <c r="H1269" i="14" s="1"/>
  <c r="H1268" i="14" s="1"/>
  <c r="H1274" i="14" s="1"/>
  <c r="F1386" i="14"/>
  <c r="H1386" i="14" s="1"/>
  <c r="F1492" i="14"/>
  <c r="H1492" i="14" s="1"/>
  <c r="F1495" i="14"/>
  <c r="H1495" i="14" s="1"/>
  <c r="F1531" i="14"/>
  <c r="H1531" i="14" s="1"/>
  <c r="H1530" i="14" s="1"/>
  <c r="H1541" i="14" s="1"/>
  <c r="P20" i="15"/>
  <c r="F1503" i="14" s="1"/>
  <c r="H1503" i="14" s="1"/>
  <c r="F1419" i="14"/>
  <c r="H1419" i="14" s="1"/>
  <c r="H1418" i="14" s="1"/>
  <c r="H1428" i="14" s="1"/>
  <c r="F884" i="14"/>
  <c r="H884" i="14" s="1"/>
  <c r="H883" i="14" s="1"/>
  <c r="H889" i="14" s="1"/>
  <c r="F881" i="14"/>
  <c r="H881" i="14" s="1"/>
  <c r="F879" i="14"/>
  <c r="H879" i="14" s="1"/>
  <c r="F877" i="14"/>
  <c r="H877" i="14" s="1"/>
  <c r="F875" i="14"/>
  <c r="H875" i="14" s="1"/>
  <c r="F855" i="14"/>
  <c r="H855" i="14" s="1"/>
  <c r="H854" i="14" s="1"/>
  <c r="H860" i="14" s="1"/>
  <c r="F604" i="14"/>
  <c r="H604" i="14" s="1"/>
  <c r="F219" i="14"/>
  <c r="H219" i="14" s="1"/>
  <c r="F435" i="14"/>
  <c r="H435" i="14" s="1"/>
  <c r="F459" i="14"/>
  <c r="H459" i="14" s="1"/>
  <c r="F434" i="14"/>
  <c r="H434" i="14" s="1"/>
  <c r="H436" i="14" s="1"/>
  <c r="H433" i="14" s="1"/>
  <c r="F458" i="14"/>
  <c r="H458" i="14" s="1"/>
  <c r="Q12" i="26"/>
  <c r="Q22" i="26"/>
  <c r="Q20" i="26" s="1"/>
  <c r="Q13" i="26"/>
  <c r="R13" i="26"/>
  <c r="S13" i="26"/>
  <c r="H193" i="14"/>
  <c r="H386" i="14"/>
  <c r="H657" i="14"/>
  <c r="F536" i="14"/>
  <c r="H536" i="14" s="1"/>
  <c r="F463" i="14"/>
  <c r="H463" i="14" s="1"/>
  <c r="F439" i="14"/>
  <c r="H439" i="14" s="1"/>
  <c r="H1368" i="14"/>
  <c r="H1365" i="14" s="1"/>
  <c r="H314" i="14"/>
  <c r="H316" i="14" s="1"/>
  <c r="H313" i="14" s="1"/>
  <c r="H50" i="14"/>
  <c r="H51" i="14" s="1"/>
  <c r="H49" i="14" s="1"/>
  <c r="H115" i="14"/>
  <c r="H117" i="14"/>
  <c r="H150" i="14"/>
  <c r="H151" i="14" s="1"/>
  <c r="H149" i="14" s="1"/>
  <c r="H242" i="14"/>
  <c r="H243" i="14"/>
  <c r="H483" i="14"/>
  <c r="H484" i="14" s="1"/>
  <c r="H481" i="14" s="1"/>
  <c r="H507" i="14"/>
  <c r="H508" i="14" s="1"/>
  <c r="H505" i="14" s="1"/>
  <c r="H466" i="14"/>
  <c r="H467" i="14" s="1"/>
  <c r="H464" i="14" s="1"/>
  <c r="H733" i="14"/>
  <c r="H734" i="14" s="1"/>
  <c r="H731" i="14" s="1"/>
  <c r="H942" i="14"/>
  <c r="H941" i="14" s="1"/>
  <c r="H947" i="14" s="1"/>
  <c r="H195" i="14"/>
  <c r="H707" i="14"/>
  <c r="H709" i="14" s="1"/>
  <c r="H706" i="14" s="1"/>
  <c r="H299" i="14"/>
  <c r="H296" i="14" s="1"/>
  <c r="H804" i="14"/>
  <c r="H805" i="14" s="1"/>
  <c r="H802" i="14" s="1"/>
  <c r="H844" i="14"/>
  <c r="H1475" i="14"/>
  <c r="H1469" i="14" s="1"/>
  <c r="H491" i="14"/>
  <c r="H488" i="14" s="1"/>
  <c r="H275" i="14"/>
  <c r="H272" i="14" s="1"/>
  <c r="H684" i="14"/>
  <c r="H681" i="14" s="1"/>
  <c r="H1533" i="14"/>
  <c r="H1538" i="14" s="1"/>
  <c r="H1532" i="14" s="1"/>
  <c r="J6" i="14"/>
  <c r="H540" i="14"/>
  <c r="H537" i="14" s="1"/>
  <c r="H654" i="14"/>
  <c r="H651" i="14" s="1"/>
  <c r="H292" i="14"/>
  <c r="H289" i="14" s="1"/>
  <c r="H23" i="14"/>
  <c r="H24" i="14" s="1"/>
  <c r="H22" i="14" s="1"/>
  <c r="H113" i="14"/>
  <c r="H322" i="14"/>
  <c r="H393" i="14"/>
  <c r="H395" i="14" s="1"/>
  <c r="H392" i="14" s="1"/>
  <c r="H757" i="14"/>
  <c r="H759" i="14" s="1"/>
  <c r="H756" i="14" s="1"/>
  <c r="H797" i="14"/>
  <c r="H1410" i="14"/>
  <c r="F871" i="14"/>
  <c r="H871" i="14" s="1"/>
  <c r="H852" i="14"/>
  <c r="F843" i="14"/>
  <c r="H843" i="14" s="1"/>
  <c r="F872" i="14"/>
  <c r="H872" i="14" s="1"/>
  <c r="F607" i="14"/>
  <c r="H607" i="14" s="1"/>
  <c r="H1413" i="14"/>
  <c r="F532" i="14"/>
  <c r="H532" i="14" s="1"/>
  <c r="F676" i="14"/>
  <c r="H676" i="14" s="1"/>
  <c r="H677" i="14" s="1"/>
  <c r="H674" i="14" s="1"/>
  <c r="F679" i="14"/>
  <c r="H679" i="14" s="1"/>
  <c r="H678" i="14" s="1"/>
  <c r="H687" i="14" s="1"/>
  <c r="H1361" i="14"/>
  <c r="H268" i="14"/>
  <c r="H265" i="14" s="1"/>
  <c r="H661" i="14" l="1"/>
  <c r="H658" i="14" s="1"/>
  <c r="H1502" i="14"/>
  <c r="H145" i="14"/>
  <c r="H138" i="14" s="1"/>
  <c r="H93" i="14"/>
  <c r="H85" i="14" s="1"/>
  <c r="H323" i="14"/>
  <c r="H320" i="14" s="1"/>
  <c r="H1267" i="14"/>
  <c r="H1262" i="14" s="1"/>
  <c r="H1272" i="14" s="1"/>
  <c r="H1340" i="14"/>
  <c r="H1330" i="14" s="1"/>
  <c r="F270" i="14"/>
  <c r="H270" i="14" s="1"/>
  <c r="H269" i="14" s="1"/>
  <c r="H278" i="14" s="1"/>
  <c r="F462" i="14"/>
  <c r="H462" i="14" s="1"/>
  <c r="H461" i="14" s="1"/>
  <c r="H470" i="14" s="1"/>
  <c r="F633" i="14"/>
  <c r="H633" i="14" s="1"/>
  <c r="H632" i="14" s="1"/>
  <c r="H641" i="14" s="1"/>
  <c r="F610" i="14"/>
  <c r="H610" i="14" s="1"/>
  <c r="H609" i="14" s="1"/>
  <c r="H618" i="14" s="1"/>
  <c r="F68" i="14"/>
  <c r="H68" i="14" s="1"/>
  <c r="H67" i="14" s="1"/>
  <c r="H73" i="14" s="1"/>
  <c r="H76" i="14" s="1"/>
  <c r="F222" i="14"/>
  <c r="H222" i="14" s="1"/>
  <c r="H221" i="14" s="1"/>
  <c r="H230" i="14" s="1"/>
  <c r="H1245" i="14"/>
  <c r="H1240" i="14" s="1"/>
  <c r="H1250" i="14" s="1"/>
  <c r="H1253" i="14" s="1"/>
  <c r="H1251" i="14" s="1"/>
  <c r="H1254" i="14" s="1"/>
  <c r="H1362" i="14"/>
  <c r="H1359" i="14" s="1"/>
  <c r="H1369" i="14" s="1"/>
  <c r="H460" i="14"/>
  <c r="H457" i="14" s="1"/>
  <c r="H388" i="14"/>
  <c r="H385" i="14" s="1"/>
  <c r="H798" i="14"/>
  <c r="H795" i="14" s="1"/>
  <c r="F342" i="14"/>
  <c r="H342" i="14" s="1"/>
  <c r="H341" i="14" s="1"/>
  <c r="H350" i="14" s="1"/>
  <c r="F1346" i="14"/>
  <c r="H1346" i="14" s="1"/>
  <c r="H1343" i="14" s="1"/>
  <c r="F1316" i="14"/>
  <c r="H1316" i="14" s="1"/>
  <c r="H1317" i="14" s="1"/>
  <c r="H1387" i="14"/>
  <c r="H1381" i="14" s="1"/>
  <c r="H1395" i="14" s="1"/>
  <c r="H752" i="14"/>
  <c r="H747" i="14" s="1"/>
  <c r="H583" i="14"/>
  <c r="H578" i="14" s="1"/>
  <c r="F585" i="14"/>
  <c r="H585" i="14" s="1"/>
  <c r="H584" i="14" s="1"/>
  <c r="H593" i="14" s="1"/>
  <c r="F560" i="14"/>
  <c r="H560" i="14" s="1"/>
  <c r="H559" i="14" s="1"/>
  <c r="F800" i="14"/>
  <c r="H800" i="14" s="1"/>
  <c r="H799" i="14" s="1"/>
  <c r="H808" i="14" s="1"/>
  <c r="F777" i="14"/>
  <c r="H777" i="14" s="1"/>
  <c r="H776" i="14" s="1"/>
  <c r="H783" i="14" s="1"/>
  <c r="H786" i="14" s="1"/>
  <c r="F656" i="14"/>
  <c r="H656" i="14" s="1"/>
  <c r="H655" i="14" s="1"/>
  <c r="F147" i="14"/>
  <c r="H147" i="14" s="1"/>
  <c r="H146" i="14" s="1"/>
  <c r="F121" i="14"/>
  <c r="H121" i="14" s="1"/>
  <c r="H120" i="14" s="1"/>
  <c r="H128" i="14" s="1"/>
  <c r="F823" i="14"/>
  <c r="H823" i="14" s="1"/>
  <c r="H822" i="14" s="1"/>
  <c r="F486" i="14"/>
  <c r="H486" i="14" s="1"/>
  <c r="H485" i="14" s="1"/>
  <c r="H494" i="14" s="1"/>
  <c r="F294" i="14"/>
  <c r="H294" i="14" s="1"/>
  <c r="H293" i="14" s="1"/>
  <c r="F246" i="14"/>
  <c r="H246" i="14" s="1"/>
  <c r="H245" i="14" s="1"/>
  <c r="H254" i="14" s="1"/>
  <c r="F199" i="14"/>
  <c r="H199" i="14" s="1"/>
  <c r="H198" i="14" s="1"/>
  <c r="H206" i="14" s="1"/>
  <c r="F173" i="14"/>
  <c r="H173" i="14" s="1"/>
  <c r="H172" i="14" s="1"/>
  <c r="F510" i="14"/>
  <c r="H510" i="14" s="1"/>
  <c r="H509" i="14" s="1"/>
  <c r="H518" i="14" s="1"/>
  <c r="F366" i="14"/>
  <c r="H366" i="14" s="1"/>
  <c r="H365" i="14" s="1"/>
  <c r="H374" i="14" s="1"/>
  <c r="F318" i="14"/>
  <c r="H318" i="14" s="1"/>
  <c r="H317" i="14" s="1"/>
  <c r="H326" i="14" s="1"/>
  <c r="F47" i="14"/>
  <c r="H47" i="14" s="1"/>
  <c r="H46" i="14" s="1"/>
  <c r="H52" i="14" s="1"/>
  <c r="F754" i="14"/>
  <c r="H754" i="14" s="1"/>
  <c r="H753" i="14" s="1"/>
  <c r="F729" i="14"/>
  <c r="H729" i="14" s="1"/>
  <c r="H728" i="14" s="1"/>
  <c r="F704" i="14"/>
  <c r="H704" i="14" s="1"/>
  <c r="H703" i="14" s="1"/>
  <c r="H712" i="14" s="1"/>
  <c r="F414" i="14"/>
  <c r="H414" i="14" s="1"/>
  <c r="H413" i="14" s="1"/>
  <c r="H422" i="14" s="1"/>
  <c r="F390" i="14"/>
  <c r="H390" i="14" s="1"/>
  <c r="H389" i="14" s="1"/>
  <c r="F95" i="14"/>
  <c r="H95" i="14" s="1"/>
  <c r="H94" i="14" s="1"/>
  <c r="H102" i="14" s="1"/>
  <c r="F26" i="14"/>
  <c r="H26" i="14" s="1"/>
  <c r="H25" i="14" s="1"/>
  <c r="H33" i="14" s="1"/>
  <c r="F535" i="14"/>
  <c r="H535" i="14" s="1"/>
  <c r="H534" i="14" s="1"/>
  <c r="H543" i="14" s="1"/>
  <c r="H1559" i="14"/>
  <c r="H1551" i="14" s="1"/>
  <c r="H1572" i="14" s="1"/>
  <c r="H1575" i="14" s="1"/>
  <c r="H1573" i="14" s="1"/>
  <c r="H1576" i="14" s="1"/>
  <c r="H1592" i="14"/>
  <c r="H1603" i="14" s="1"/>
  <c r="H305" i="148"/>
  <c r="H186" i="148"/>
  <c r="K186" i="148" s="1"/>
  <c r="L186" i="148" s="1"/>
  <c r="H1081" i="14"/>
  <c r="H1070" i="14" s="1"/>
  <c r="H1087" i="14" s="1"/>
  <c r="H1090" i="14" s="1"/>
  <c r="H1088" i="14" s="1"/>
  <c r="H1091" i="14" s="1"/>
  <c r="H1115" i="14"/>
  <c r="H1117" i="14"/>
  <c r="F1100" i="14"/>
  <c r="H1100" i="14" s="1"/>
  <c r="H1099" i="14" s="1"/>
  <c r="H220" i="14"/>
  <c r="H217" i="14" s="1"/>
  <c r="H16" i="14"/>
  <c r="H17" i="14"/>
  <c r="H1052" i="14"/>
  <c r="H1041" i="14" s="1"/>
  <c r="H1058" i="14" s="1"/>
  <c r="H1061" i="14" s="1"/>
  <c r="H1059" i="14" s="1"/>
  <c r="H1062" i="14" s="1"/>
  <c r="H1023" i="14"/>
  <c r="H1013" i="14" s="1"/>
  <c r="H1029" i="14" s="1"/>
  <c r="H702" i="14"/>
  <c r="H697" i="14" s="1"/>
  <c r="H911" i="14"/>
  <c r="H899" i="14" s="1"/>
  <c r="H916" i="14" s="1"/>
  <c r="H558" i="14"/>
  <c r="H553" i="14" s="1"/>
  <c r="H277" i="148"/>
  <c r="R12" i="26"/>
  <c r="R10" i="26" s="1"/>
  <c r="R15" i="26" s="1"/>
  <c r="R16" i="26" s="1"/>
  <c r="R17" i="26" s="1"/>
  <c r="R18" i="26" s="1"/>
  <c r="H1289" i="14"/>
  <c r="H1284" i="14" s="1"/>
  <c r="H1296" i="14" s="1"/>
  <c r="H940" i="14"/>
  <c r="H928" i="14" s="1"/>
  <c r="H945" i="14" s="1"/>
  <c r="H948" i="14" s="1"/>
  <c r="H946" i="14" s="1"/>
  <c r="H949" i="14" s="1"/>
  <c r="H1193" i="14"/>
  <c r="H1183" i="14" s="1"/>
  <c r="H1199" i="14" s="1"/>
  <c r="H533" i="14"/>
  <c r="H528" i="14" s="1"/>
  <c r="H1451" i="14"/>
  <c r="H1165" i="14"/>
  <c r="H1155" i="14" s="1"/>
  <c r="H1171" i="14" s="1"/>
  <c r="H1137" i="14"/>
  <c r="H1127" i="14" s="1"/>
  <c r="H1143" i="14" s="1"/>
  <c r="H1146" i="14" s="1"/>
  <c r="H1144" i="14" s="1"/>
  <c r="H1147" i="14" s="1"/>
  <c r="H995" i="14"/>
  <c r="H985" i="14" s="1"/>
  <c r="H1001" i="14" s="1"/>
  <c r="H1222" i="14"/>
  <c r="H1211" i="14" s="1"/>
  <c r="H1228" i="14" s="1"/>
  <c r="H1499" i="14"/>
  <c r="H1488" i="14" s="1"/>
  <c r="H1513" i="14" s="1"/>
  <c r="H608" i="14"/>
  <c r="H603" i="14" s="1"/>
  <c r="H119" i="14"/>
  <c r="H112" i="14" s="1"/>
  <c r="H437" i="14"/>
  <c r="H444" i="14" s="1"/>
  <c r="Q10" i="26"/>
  <c r="Q15" i="26" s="1"/>
  <c r="Q16" i="26" s="1"/>
  <c r="Q17" i="26" s="1"/>
  <c r="Q18" i="26" s="1"/>
  <c r="H639" i="14"/>
  <c r="H197" i="14"/>
  <c r="H190" i="14" s="1"/>
  <c r="S12" i="26"/>
  <c r="S10" i="26" s="1"/>
  <c r="S15" i="26" s="1"/>
  <c r="S16" i="26" s="1"/>
  <c r="S17" i="26" s="1"/>
  <c r="S18" i="26" s="1"/>
  <c r="H967" i="14"/>
  <c r="H957" i="14" s="1"/>
  <c r="H973" i="14" s="1"/>
  <c r="H1539" i="14"/>
  <c r="H276" i="14"/>
  <c r="H372" i="14"/>
  <c r="H244" i="14"/>
  <c r="H241" i="14" s="1"/>
  <c r="H252" i="14" s="1"/>
  <c r="H324" i="14"/>
  <c r="H1476" i="14"/>
  <c r="H685" i="14"/>
  <c r="H882" i="14"/>
  <c r="H870" i="14" s="1"/>
  <c r="H887" i="14" s="1"/>
  <c r="H853" i="14"/>
  <c r="H841" i="14" s="1"/>
  <c r="H858" i="14" s="1"/>
  <c r="H1417" i="14"/>
  <c r="H1407" i="14" s="1"/>
  <c r="H1426" i="14" s="1"/>
  <c r="H75" i="14" l="1"/>
  <c r="H228" i="14"/>
  <c r="H1347" i="14"/>
  <c r="H806" i="14"/>
  <c r="H785" i="14"/>
  <c r="H616" i="14"/>
  <c r="H619" i="14" s="1"/>
  <c r="H617" i="14" s="1"/>
  <c r="H1313" i="14"/>
  <c r="H1318" i="14" s="1"/>
  <c r="H492" i="14"/>
  <c r="H495" i="14" s="1"/>
  <c r="H493" i="14" s="1"/>
  <c r="H496" i="14" s="1"/>
  <c r="H710" i="14"/>
  <c r="H126" i="14"/>
  <c r="H516" i="14"/>
  <c r="H420" i="14"/>
  <c r="H762" i="14"/>
  <c r="H760" i="14"/>
  <c r="H763" i="14" s="1"/>
  <c r="H761" i="14" s="1"/>
  <c r="H764" i="14" s="1"/>
  <c r="H204" i="14"/>
  <c r="H207" i="14" s="1"/>
  <c r="H205" i="14" s="1"/>
  <c r="H208" i="14" s="1"/>
  <c r="H180" i="14"/>
  <c r="H178" i="14"/>
  <c r="H181" i="14" s="1"/>
  <c r="H664" i="14"/>
  <c r="H662" i="14"/>
  <c r="H665" i="14" s="1"/>
  <c r="H663" i="14" s="1"/>
  <c r="H666" i="14" s="1"/>
  <c r="H737" i="14"/>
  <c r="H735" i="14"/>
  <c r="H738" i="14" s="1"/>
  <c r="H736" i="14" s="1"/>
  <c r="H739" i="14" s="1"/>
  <c r="H398" i="14"/>
  <c r="H396" i="14"/>
  <c r="H399" i="14" s="1"/>
  <c r="H302" i="14"/>
  <c r="H300" i="14"/>
  <c r="H303" i="14" s="1"/>
  <c r="H301" i="14" s="1"/>
  <c r="H304" i="14" s="1"/>
  <c r="H154" i="14"/>
  <c r="H152" i="14"/>
  <c r="H155" i="14" s="1"/>
  <c r="H153" i="14" s="1"/>
  <c r="H568" i="14"/>
  <c r="H566" i="14"/>
  <c r="H569" i="14" s="1"/>
  <c r="H567" i="14" s="1"/>
  <c r="H570" i="14" s="1"/>
  <c r="H831" i="14"/>
  <c r="H829" i="14"/>
  <c r="H832" i="14" s="1"/>
  <c r="H830" i="14" s="1"/>
  <c r="H833" i="14" s="1"/>
  <c r="H541" i="14"/>
  <c r="H544" i="14" s="1"/>
  <c r="H542" i="14" s="1"/>
  <c r="H545" i="14" s="1"/>
  <c r="H591" i="14"/>
  <c r="H1584" i="14"/>
  <c r="H1601" i="14" s="1"/>
  <c r="H78" i="148"/>
  <c r="H89" i="148"/>
  <c r="N89" i="148" s="1"/>
  <c r="H542" i="148"/>
  <c r="N542" i="148" s="1"/>
  <c r="H562" i="148"/>
  <c r="K562" i="148" s="1"/>
  <c r="H132" i="148"/>
  <c r="K132" i="148" s="1"/>
  <c r="H400" i="148"/>
  <c r="H141" i="148"/>
  <c r="K141" i="148" s="1"/>
  <c r="H468" i="14"/>
  <c r="H471" i="14" s="1"/>
  <c r="H469" i="14" s="1"/>
  <c r="H472" i="14" s="1"/>
  <c r="H348" i="14"/>
  <c r="H282" i="148"/>
  <c r="H718" i="148"/>
  <c r="H957" i="148"/>
  <c r="H331" i="148"/>
  <c r="H660" i="148"/>
  <c r="H659" i="148"/>
  <c r="H924" i="148"/>
  <c r="N924" i="148" s="1"/>
  <c r="O924" i="148" s="1"/>
  <c r="H826" i="148"/>
  <c r="H837" i="148"/>
  <c r="H818" i="148"/>
  <c r="H935" i="148"/>
  <c r="H916" i="148"/>
  <c r="H795" i="148"/>
  <c r="H893" i="148"/>
  <c r="H1579" i="14"/>
  <c r="H1578" i="14"/>
  <c r="H1103" i="14"/>
  <c r="H1101" i="14"/>
  <c r="H1104" i="14" s="1"/>
  <c r="H1118" i="14"/>
  <c r="H1116" i="14" s="1"/>
  <c r="H386" i="148"/>
  <c r="H287" i="148"/>
  <c r="K287" i="148" s="1"/>
  <c r="H288" i="148"/>
  <c r="K288" i="148" s="1"/>
  <c r="H286" i="148"/>
  <c r="K286" i="148" s="1"/>
  <c r="H15" i="14"/>
  <c r="H18" i="14" s="1"/>
  <c r="H19" i="14" s="1"/>
  <c r="H1256" i="14"/>
  <c r="H1149" i="14"/>
  <c r="H1148" i="14" s="1"/>
  <c r="H1151" i="14" s="1"/>
  <c r="H1152" i="14" s="1"/>
  <c r="H951" i="14"/>
  <c r="H1064" i="14"/>
  <c r="H1063" i="14" s="1"/>
  <c r="H1066" i="14" s="1"/>
  <c r="H1067" i="14" s="1"/>
  <c r="H1093" i="14"/>
  <c r="H861" i="14"/>
  <c r="H859" i="14" s="1"/>
  <c r="H862" i="14" s="1"/>
  <c r="H809" i="14"/>
  <c r="H807" i="14" s="1"/>
  <c r="H688" i="14"/>
  <c r="H686" i="14" s="1"/>
  <c r="H1299" i="14"/>
  <c r="H1297" i="14" s="1"/>
  <c r="H1300" i="14" s="1"/>
  <c r="H375" i="14"/>
  <c r="H373" i="14" s="1"/>
  <c r="H376" i="14" s="1"/>
  <c r="H1350" i="14"/>
  <c r="H1348" i="14" s="1"/>
  <c r="H1351" i="14" s="1"/>
  <c r="H1004" i="14"/>
  <c r="H1002" i="14" s="1"/>
  <c r="H1005" i="14" s="1"/>
  <c r="H1454" i="14"/>
  <c r="H1452" i="14" s="1"/>
  <c r="H1455" i="14" s="1"/>
  <c r="H1257" i="14"/>
  <c r="H1321" i="14"/>
  <c r="H1319" i="14" s="1"/>
  <c r="H1322" i="14" s="1"/>
  <c r="H1325" i="14" s="1"/>
  <c r="H1150" i="14"/>
  <c r="H1174" i="14"/>
  <c r="H1172" i="14" s="1"/>
  <c r="H1175" i="14" s="1"/>
  <c r="H952" i="14"/>
  <c r="H919" i="14"/>
  <c r="H917" i="14" s="1"/>
  <c r="H920" i="14" s="1"/>
  <c r="H923" i="14" s="1"/>
  <c r="H1065" i="14"/>
  <c r="H1094" i="14"/>
  <c r="H713" i="14"/>
  <c r="H711" i="14" s="1"/>
  <c r="H714" i="14" s="1"/>
  <c r="H446" i="14"/>
  <c r="H54" i="14"/>
  <c r="H100" i="14"/>
  <c r="H270" i="148"/>
  <c r="K270" i="148" s="1"/>
  <c r="H283" i="148"/>
  <c r="N283" i="148" s="1"/>
  <c r="H811" i="148"/>
  <c r="H143" i="148"/>
  <c r="H263" i="148"/>
  <c r="H433" i="148"/>
  <c r="H439" i="148"/>
  <c r="K439" i="148" s="1"/>
  <c r="L439" i="148" s="1"/>
  <c r="H808" i="148"/>
  <c r="K808" i="148" s="1"/>
  <c r="H362" i="148"/>
  <c r="K362" i="148" s="1"/>
  <c r="H55" i="14"/>
  <c r="H976" i="14"/>
  <c r="H974" i="14" s="1"/>
  <c r="H977" i="14" s="1"/>
  <c r="H1032" i="14"/>
  <c r="H1030" i="14" s="1"/>
  <c r="H1033" i="14" s="1"/>
  <c r="H31" i="14"/>
  <c r="H74" i="14"/>
  <c r="H1516" i="14"/>
  <c r="H1514" i="14" s="1"/>
  <c r="H1517" i="14" s="1"/>
  <c r="H254" i="148"/>
  <c r="K254" i="148" s="1"/>
  <c r="L254" i="148" s="1"/>
  <c r="H938" i="148"/>
  <c r="N937" i="148" s="1"/>
  <c r="H13" i="148"/>
  <c r="N13" i="148" s="1"/>
  <c r="H491" i="148"/>
  <c r="K491" i="148" s="1"/>
  <c r="H642" i="14"/>
  <c r="H640" i="14" s="1"/>
  <c r="H643" i="14" s="1"/>
  <c r="H1202" i="14"/>
  <c r="H1200" i="14" s="1"/>
  <c r="H1203" i="14" s="1"/>
  <c r="H549" i="148"/>
  <c r="N549" i="148" s="1"/>
  <c r="O549" i="148" s="1"/>
  <c r="H571" i="148"/>
  <c r="K571" i="148" s="1"/>
  <c r="H1275" i="14"/>
  <c r="H1273" i="14" s="1"/>
  <c r="H1276" i="14" s="1"/>
  <c r="H1398" i="14"/>
  <c r="H1396" i="14" s="1"/>
  <c r="H1399" i="14" s="1"/>
  <c r="H560" i="148"/>
  <c r="K560" i="148" s="1"/>
  <c r="H200" i="148"/>
  <c r="K200" i="148" s="1"/>
  <c r="K305" i="148"/>
  <c r="L305" i="148" s="1"/>
  <c r="N305" i="148"/>
  <c r="O305" i="148" s="1"/>
  <c r="H293" i="148"/>
  <c r="H156" i="148"/>
  <c r="K156" i="148" s="1"/>
  <c r="H554" i="148"/>
  <c r="H572" i="148"/>
  <c r="N562" i="148"/>
  <c r="O562" i="148" s="1"/>
  <c r="H192" i="148"/>
  <c r="K192" i="148" s="1"/>
  <c r="H95" i="148"/>
  <c r="K95" i="148" s="1"/>
  <c r="H314" i="148"/>
  <c r="K314" i="148" s="1"/>
  <c r="H310" i="148"/>
  <c r="K310" i="148" s="1"/>
  <c r="H689" i="148"/>
  <c r="K689" i="148" s="1"/>
  <c r="H585" i="148"/>
  <c r="N584" i="148" s="1"/>
  <c r="O584" i="148" s="1"/>
  <c r="H451" i="148"/>
  <c r="N450" i="148" s="1"/>
  <c r="O450" i="148" s="1"/>
  <c r="H499" i="148"/>
  <c r="H602" i="148"/>
  <c r="H477" i="148"/>
  <c r="K477" i="148" s="1"/>
  <c r="H610" i="148"/>
  <c r="K610" i="148" s="1"/>
  <c r="H445" i="148"/>
  <c r="K445" i="148" s="1"/>
  <c r="H579" i="148"/>
  <c r="K579" i="148" s="1"/>
  <c r="H121" i="148"/>
  <c r="H796" i="148"/>
  <c r="H188" i="148"/>
  <c r="K188" i="148" s="1"/>
  <c r="H799" i="148"/>
  <c r="H114" i="148"/>
  <c r="H401" i="148"/>
  <c r="H77" i="148"/>
  <c r="N77" i="148" s="1"/>
  <c r="H251" i="148"/>
  <c r="H763" i="148"/>
  <c r="K763" i="148" s="1"/>
  <c r="H378" i="148"/>
  <c r="K378" i="148" s="1"/>
  <c r="H694" i="148"/>
  <c r="K694" i="148" s="1"/>
  <c r="H257" i="148"/>
  <c r="H635" i="148"/>
  <c r="H939" i="148"/>
  <c r="H104" i="148"/>
  <c r="K104" i="148" s="1"/>
  <c r="H12" i="148"/>
  <c r="N12" i="148" s="1"/>
  <c r="H636" i="148"/>
  <c r="H652" i="148"/>
  <c r="K652" i="148" s="1"/>
  <c r="F377" i="148"/>
  <c r="H364" i="148"/>
  <c r="K364" i="148" s="1"/>
  <c r="H294" i="148"/>
  <c r="K294" i="148" s="1"/>
  <c r="H567" i="148"/>
  <c r="K567" i="148" s="1"/>
  <c r="H296" i="148"/>
  <c r="H173" i="148"/>
  <c r="K173" i="148" s="1"/>
  <c r="H234" i="148"/>
  <c r="H1231" i="14"/>
  <c r="H1229" i="14" s="1"/>
  <c r="H1232" i="14" s="1"/>
  <c r="H423" i="14"/>
  <c r="H421" i="14" s="1"/>
  <c r="H424" i="14" s="1"/>
  <c r="H129" i="14"/>
  <c r="H127" i="14" s="1"/>
  <c r="H130" i="14" s="1"/>
  <c r="H279" i="14"/>
  <c r="H277" i="14" s="1"/>
  <c r="H280" i="14" s="1"/>
  <c r="H327" i="14"/>
  <c r="H325" i="14" s="1"/>
  <c r="H328" i="14" s="1"/>
  <c r="H255" i="14"/>
  <c r="H253" i="14" s="1"/>
  <c r="H256" i="14" s="1"/>
  <c r="H244" i="148"/>
  <c r="H521" i="148"/>
  <c r="H520" i="148"/>
  <c r="H243" i="148"/>
  <c r="H242" i="148"/>
  <c r="H229" i="148"/>
  <c r="H201" i="148"/>
  <c r="H183" i="148"/>
  <c r="K183" i="148" s="1"/>
  <c r="H221" i="148"/>
  <c r="H300" i="148"/>
  <c r="H36" i="148"/>
  <c r="N36" i="148" s="1"/>
  <c r="H429" i="148"/>
  <c r="N428" i="148" s="1"/>
  <c r="O428" i="148" s="1"/>
  <c r="H523" i="148"/>
  <c r="H182" i="148"/>
  <c r="H941" i="148"/>
  <c r="H269" i="148"/>
  <c r="K269" i="148" s="1"/>
  <c r="H467" i="148"/>
  <c r="H154" i="148"/>
  <c r="K154" i="148" s="1"/>
  <c r="N895" i="148"/>
  <c r="O895" i="148" s="1"/>
  <c r="H256" i="148"/>
  <c r="K256" i="148" s="1"/>
  <c r="H160" i="148"/>
  <c r="K160" i="148" s="1"/>
  <c r="N892" i="148"/>
  <c r="O892" i="148" s="1"/>
  <c r="H178" i="148"/>
  <c r="K178" i="148" s="1"/>
  <c r="H155" i="148"/>
  <c r="K155" i="148" s="1"/>
  <c r="N433" i="148"/>
  <c r="O433" i="148" s="1"/>
  <c r="K433" i="148"/>
  <c r="L433" i="148" s="1"/>
  <c r="K400" i="148"/>
  <c r="H424" i="148"/>
  <c r="H500" i="148"/>
  <c r="K500" i="148" s="1"/>
  <c r="H32" i="148"/>
  <c r="K32" i="148" s="1"/>
  <c r="H41" i="148"/>
  <c r="N41" i="148" s="1"/>
  <c r="H11" i="148"/>
  <c r="N11" i="148" s="1"/>
  <c r="H402" i="148"/>
  <c r="H447" i="14"/>
  <c r="H1542" i="14"/>
  <c r="H1540" i="14" s="1"/>
  <c r="H1543" i="14" s="1"/>
  <c r="H784" i="14"/>
  <c r="H620" i="14"/>
  <c r="H1479" i="14"/>
  <c r="H1477" i="14" s="1"/>
  <c r="H1480" i="14" s="1"/>
  <c r="H1092" i="14"/>
  <c r="H1095" i="14" s="1"/>
  <c r="H1096" i="14" s="1"/>
  <c r="H810" i="14"/>
  <c r="H689" i="14"/>
  <c r="H519" i="14"/>
  <c r="H517" i="14" s="1"/>
  <c r="H520" i="14" s="1"/>
  <c r="H1372" i="14"/>
  <c r="H1370" i="14" s="1"/>
  <c r="H1373" i="14" s="1"/>
  <c r="H231" i="14"/>
  <c r="H229" i="14" s="1"/>
  <c r="H232" i="14" s="1"/>
  <c r="H351" i="14"/>
  <c r="H349" i="14" s="1"/>
  <c r="H1429" i="14"/>
  <c r="H1427" i="14" s="1"/>
  <c r="H890" i="14"/>
  <c r="H888" i="14" s="1"/>
  <c r="H891" i="14" s="1"/>
  <c r="H156" i="14"/>
  <c r="H835" i="14" l="1"/>
  <c r="H836" i="14"/>
  <c r="H179" i="14"/>
  <c r="H182" i="14" s="1"/>
  <c r="H397" i="14"/>
  <c r="H159" i="14"/>
  <c r="K924" i="148"/>
  <c r="L924" i="148" s="1"/>
  <c r="H262" i="148"/>
  <c r="H180" i="148"/>
  <c r="K180" i="148" s="1"/>
  <c r="H316" i="148"/>
  <c r="K316" i="148" s="1"/>
  <c r="H530" i="148"/>
  <c r="H24" i="148"/>
  <c r="K24" i="148" s="1"/>
  <c r="H959" i="148"/>
  <c r="K959" i="148" s="1"/>
  <c r="H1255" i="14"/>
  <c r="H1258" i="14" s="1"/>
  <c r="H1259" i="14" s="1"/>
  <c r="H317" i="148"/>
  <c r="K317" i="148" s="1"/>
  <c r="H312" i="148"/>
  <c r="K312" i="148" s="1"/>
  <c r="H950" i="14"/>
  <c r="H953" i="14" s="1"/>
  <c r="H954" i="14" s="1"/>
  <c r="H594" i="14"/>
  <c r="H592" i="14" s="1"/>
  <c r="H595" i="14" s="1"/>
  <c r="H598" i="14" s="1"/>
  <c r="H726" i="148"/>
  <c r="K726" i="148" s="1"/>
  <c r="L726" i="148" s="1"/>
  <c r="H724" i="148"/>
  <c r="N724" i="148" s="1"/>
  <c r="O724" i="148" s="1"/>
  <c r="H404" i="148"/>
  <c r="K404" i="148" s="1"/>
  <c r="H83" i="148"/>
  <c r="N83" i="148" s="1"/>
  <c r="H940" i="148"/>
  <c r="N940" i="148" s="1"/>
  <c r="O940" i="148" s="1"/>
  <c r="H148" i="148"/>
  <c r="K148" i="148" s="1"/>
  <c r="H498" i="148"/>
  <c r="N498" i="148" s="1"/>
  <c r="O498" i="148" s="1"/>
  <c r="N254" i="148"/>
  <c r="O254" i="148" s="1"/>
  <c r="N439" i="148"/>
  <c r="O439" i="148" s="1"/>
  <c r="H306" i="148"/>
  <c r="K306" i="148" s="1"/>
  <c r="L306" i="148" s="1"/>
  <c r="H519" i="148"/>
  <c r="N519" i="148" s="1"/>
  <c r="O519" i="148" s="1"/>
  <c r="H233" i="148"/>
  <c r="K233" i="148" s="1"/>
  <c r="H436" i="148"/>
  <c r="K436" i="148" s="1"/>
  <c r="H150" i="148"/>
  <c r="K150" i="148" s="1"/>
  <c r="H350" i="148"/>
  <c r="K350" i="148" s="1"/>
  <c r="H368" i="148"/>
  <c r="H685" i="148"/>
  <c r="K685" i="148" s="1"/>
  <c r="H330" i="148"/>
  <c r="H125" i="148"/>
  <c r="K125" i="148" s="1"/>
  <c r="H129" i="148"/>
  <c r="K129" i="148" s="1"/>
  <c r="H17" i="148"/>
  <c r="K17" i="148" s="1"/>
  <c r="H737" i="148"/>
  <c r="K737" i="148" s="1"/>
  <c r="H278" i="148"/>
  <c r="H812" i="148"/>
  <c r="H910" i="148"/>
  <c r="H821" i="148"/>
  <c r="K821" i="148" s="1"/>
  <c r="L821" i="148" s="1"/>
  <c r="H919" i="148"/>
  <c r="H266" i="148"/>
  <c r="K266" i="148" s="1"/>
  <c r="L266" i="148" s="1"/>
  <c r="H901" i="148"/>
  <c r="N901" i="148" s="1"/>
  <c r="O901" i="148" s="1"/>
  <c r="H265" i="148"/>
  <c r="K265" i="148" s="1"/>
  <c r="L265" i="148" s="1"/>
  <c r="H729" i="148"/>
  <c r="N729" i="148" s="1"/>
  <c r="O729" i="148" s="1"/>
  <c r="H351" i="148"/>
  <c r="H830" i="148"/>
  <c r="K830" i="148" s="1"/>
  <c r="H928" i="148"/>
  <c r="K928" i="148" s="1"/>
  <c r="H553" i="148"/>
  <c r="N553" i="148" s="1"/>
  <c r="O553" i="148" s="1"/>
  <c r="H794" i="148"/>
  <c r="N794" i="148" s="1"/>
  <c r="O794" i="148" s="1"/>
  <c r="H281" i="148"/>
  <c r="K281" i="148" s="1"/>
  <c r="L281" i="148" s="1"/>
  <c r="H730" i="148"/>
  <c r="H947" i="148"/>
  <c r="K947" i="148" s="1"/>
  <c r="H677" i="148"/>
  <c r="K677" i="148" s="1"/>
  <c r="H687" i="148"/>
  <c r="K687" i="148" s="1"/>
  <c r="H678" i="148"/>
  <c r="K678" i="148" s="1"/>
  <c r="H733" i="148"/>
  <c r="K733" i="148" s="1"/>
  <c r="H333" i="148"/>
  <c r="H758" i="148"/>
  <c r="K758" i="148" s="1"/>
  <c r="H853" i="148"/>
  <c r="K853" i="148" s="1"/>
  <c r="H862" i="148"/>
  <c r="K862" i="148" s="1"/>
  <c r="H749" i="148"/>
  <c r="K749" i="148" s="1"/>
  <c r="H348" i="148"/>
  <c r="K348" i="148" s="1"/>
  <c r="H858" i="148"/>
  <c r="K858" i="148" s="1"/>
  <c r="H754" i="148"/>
  <c r="K754" i="148" s="1"/>
  <c r="H708" i="148"/>
  <c r="K708" i="148" s="1"/>
  <c r="H784" i="148"/>
  <c r="K784" i="148" s="1"/>
  <c r="H888" i="148"/>
  <c r="K888" i="148" s="1"/>
  <c r="H879" i="148"/>
  <c r="K879" i="148" s="1"/>
  <c r="H781" i="148"/>
  <c r="K781" i="148" s="1"/>
  <c r="H844" i="148"/>
  <c r="H751" i="148"/>
  <c r="K751" i="148" s="1"/>
  <c r="H740" i="148"/>
  <c r="K740" i="148" s="1"/>
  <c r="H885" i="148"/>
  <c r="K885" i="148" s="1"/>
  <c r="H855" i="148"/>
  <c r="K855" i="148" s="1"/>
  <c r="H775" i="148"/>
  <c r="K775" i="148" s="1"/>
  <c r="H721" i="148"/>
  <c r="K721" i="148" s="1"/>
  <c r="L721" i="148" s="1"/>
  <c r="H790" i="148"/>
  <c r="H742" i="148"/>
  <c r="K742" i="148" s="1"/>
  <c r="H846" i="148"/>
  <c r="K846" i="148" s="1"/>
  <c r="H210" i="148"/>
  <c r="K210" i="148" s="1"/>
  <c r="L210" i="148" s="1"/>
  <c r="H805" i="148"/>
  <c r="H903" i="148"/>
  <c r="K903" i="148" s="1"/>
  <c r="L903" i="148" s="1"/>
  <c r="H883" i="148"/>
  <c r="N883" i="148" s="1"/>
  <c r="O883" i="148" s="1"/>
  <c r="H779" i="148"/>
  <c r="K811" i="148"/>
  <c r="L811" i="148" s="1"/>
  <c r="N811" i="148"/>
  <c r="O811" i="148" s="1"/>
  <c r="K818" i="148"/>
  <c r="L818" i="148" s="1"/>
  <c r="N818" i="148"/>
  <c r="O818" i="148" s="1"/>
  <c r="H870" i="148"/>
  <c r="H863" i="148"/>
  <c r="K863" i="148" s="1"/>
  <c r="H759" i="148"/>
  <c r="K759" i="148" s="1"/>
  <c r="H766" i="148"/>
  <c r="K766" i="148" s="1"/>
  <c r="H825" i="148"/>
  <c r="K825" i="148" s="1"/>
  <c r="H750" i="148"/>
  <c r="K750" i="148" s="1"/>
  <c r="H878" i="148"/>
  <c r="K878" i="148" s="1"/>
  <c r="H774" i="148"/>
  <c r="K774" i="148" s="1"/>
  <c r="H827" i="148"/>
  <c r="K827" i="148" s="1"/>
  <c r="H780" i="148"/>
  <c r="K780" i="148" s="1"/>
  <c r="H884" i="148"/>
  <c r="H854" i="148"/>
  <c r="K854" i="148" s="1"/>
  <c r="H762" i="148"/>
  <c r="K762" i="148" s="1"/>
  <c r="H866" i="148"/>
  <c r="H181" i="148"/>
  <c r="K181" i="148" s="1"/>
  <c r="H920" i="148"/>
  <c r="K920" i="148" s="1"/>
  <c r="L920" i="148" s="1"/>
  <c r="H822" i="148"/>
  <c r="H820" i="148"/>
  <c r="H918" i="148"/>
  <c r="K918" i="148" s="1"/>
  <c r="L918" i="148" s="1"/>
  <c r="K799" i="148"/>
  <c r="L799" i="148" s="1"/>
  <c r="N799" i="148"/>
  <c r="O799" i="148" s="1"/>
  <c r="N837" i="148"/>
  <c r="O837" i="148" s="1"/>
  <c r="K837" i="148"/>
  <c r="L837" i="148" s="1"/>
  <c r="H851" i="148"/>
  <c r="K851" i="148" s="1"/>
  <c r="H747" i="148"/>
  <c r="K747" i="148" s="1"/>
  <c r="H785" i="148"/>
  <c r="K785" i="148" s="1"/>
  <c r="H889" i="148"/>
  <c r="K889" i="148" s="1"/>
  <c r="H771" i="148"/>
  <c r="K771" i="148" s="1"/>
  <c r="H875" i="148"/>
  <c r="H720" i="148"/>
  <c r="N720" i="148" s="1"/>
  <c r="O720" i="148" s="1"/>
  <c r="H789" i="148"/>
  <c r="H741" i="148"/>
  <c r="K741" i="148" s="1"/>
  <c r="H845" i="148"/>
  <c r="H772" i="148"/>
  <c r="K772" i="148" s="1"/>
  <c r="H876" i="148"/>
  <c r="K876" i="148" s="1"/>
  <c r="H760" i="148"/>
  <c r="K760" i="148" s="1"/>
  <c r="H864" i="148"/>
  <c r="K864" i="148" s="1"/>
  <c r="H886" i="148"/>
  <c r="K886" i="148" s="1"/>
  <c r="H857" i="148"/>
  <c r="K857" i="148" s="1"/>
  <c r="H753" i="148"/>
  <c r="K753" i="148" s="1"/>
  <c r="H782" i="148"/>
  <c r="K782" i="148" s="1"/>
  <c r="H802" i="148"/>
  <c r="H819" i="148"/>
  <c r="H803" i="148"/>
  <c r="K826" i="148"/>
  <c r="L826" i="148" s="1"/>
  <c r="N826" i="148"/>
  <c r="O826" i="148" s="1"/>
  <c r="H800" i="148"/>
  <c r="H898" i="148"/>
  <c r="H817" i="148"/>
  <c r="H915" i="148"/>
  <c r="H932" i="148"/>
  <c r="H834" i="148"/>
  <c r="H934" i="148"/>
  <c r="N934" i="148" s="1"/>
  <c r="O934" i="148" s="1"/>
  <c r="H836" i="148"/>
  <c r="H868" i="148"/>
  <c r="K868" i="148" s="1"/>
  <c r="H764" i="148"/>
  <c r="K764" i="148" s="1"/>
  <c r="H757" i="148"/>
  <c r="K757" i="148" s="1"/>
  <c r="H861" i="148"/>
  <c r="K861" i="148" s="1"/>
  <c r="H835" i="148"/>
  <c r="H933" i="148"/>
  <c r="H112" i="148"/>
  <c r="H783" i="148"/>
  <c r="H913" i="148"/>
  <c r="K913" i="148" s="1"/>
  <c r="L913" i="148" s="1"/>
  <c r="H815" i="148"/>
  <c r="H798" i="148"/>
  <c r="K796" i="148"/>
  <c r="L796" i="148" s="1"/>
  <c r="N796" i="148"/>
  <c r="O796" i="148" s="1"/>
  <c r="K795" i="148"/>
  <c r="L795" i="148" s="1"/>
  <c r="N795" i="148"/>
  <c r="O795" i="148" s="1"/>
  <c r="H950" i="148"/>
  <c r="N949" i="148" s="1"/>
  <c r="O949" i="148" s="1"/>
  <c r="N912" i="148"/>
  <c r="O912" i="148" s="1"/>
  <c r="H925" i="148"/>
  <c r="K925" i="148" s="1"/>
  <c r="H923" i="148"/>
  <c r="K923" i="148" s="1"/>
  <c r="H222" i="148"/>
  <c r="K222" i="148" s="1"/>
  <c r="L222" i="148" s="1"/>
  <c r="H900" i="148"/>
  <c r="H917" i="148"/>
  <c r="N917" i="148" s="1"/>
  <c r="O917" i="148" s="1"/>
  <c r="H909" i="148"/>
  <c r="H944" i="148"/>
  <c r="K944" i="148" s="1"/>
  <c r="H867" i="148"/>
  <c r="K867" i="148" s="1"/>
  <c r="H651" i="148"/>
  <c r="K651" i="148" s="1"/>
  <c r="H906" i="148"/>
  <c r="K906" i="148" s="1"/>
  <c r="H399" i="148"/>
  <c r="K399" i="148" s="1"/>
  <c r="L399" i="148" s="1"/>
  <c r="H887" i="148"/>
  <c r="H896" i="148"/>
  <c r="N896" i="148" s="1"/>
  <c r="O896" i="148" s="1"/>
  <c r="H894" i="148"/>
  <c r="H158" i="148"/>
  <c r="N158" i="148" s="1"/>
  <c r="O158" i="148" s="1"/>
  <c r="H393" i="148"/>
  <c r="K393" i="148" s="1"/>
  <c r="H700" i="148"/>
  <c r="K700" i="148" s="1"/>
  <c r="H711" i="148"/>
  <c r="K711" i="148" s="1"/>
  <c r="H698" i="148"/>
  <c r="K698" i="148" s="1"/>
  <c r="H702" i="148"/>
  <c r="K702" i="148" s="1"/>
  <c r="H411" i="148"/>
  <c r="K411" i="148" s="1"/>
  <c r="H707" i="148"/>
  <c r="K707" i="148" s="1"/>
  <c r="H389" i="148"/>
  <c r="K389" i="148" s="1"/>
  <c r="H710" i="148"/>
  <c r="K710" i="148" s="1"/>
  <c r="H392" i="148"/>
  <c r="K392" i="148" s="1"/>
  <c r="H365" i="148"/>
  <c r="K365" i="148" s="1"/>
  <c r="H703" i="148"/>
  <c r="K703" i="148" s="1"/>
  <c r="H395" i="148"/>
  <c r="K395" i="148" s="1"/>
  <c r="H713" i="148"/>
  <c r="K713" i="148" s="1"/>
  <c r="H699" i="148"/>
  <c r="K699" i="148" s="1"/>
  <c r="H701" i="148"/>
  <c r="K701" i="148" s="1"/>
  <c r="H391" i="148"/>
  <c r="K391" i="148" s="1"/>
  <c r="H709" i="148"/>
  <c r="K709" i="148" s="1"/>
  <c r="H712" i="148"/>
  <c r="K712" i="148" s="1"/>
  <c r="H394" i="148"/>
  <c r="K394" i="148" s="1"/>
  <c r="H485" i="148"/>
  <c r="K485" i="148" s="1"/>
  <c r="L485" i="148" s="1"/>
  <c r="H397" i="148"/>
  <c r="H715" i="148"/>
  <c r="H357" i="148"/>
  <c r="K357" i="148" s="1"/>
  <c r="H706" i="148"/>
  <c r="K706" i="148" s="1"/>
  <c r="H696" i="148"/>
  <c r="K696" i="148" s="1"/>
  <c r="K718" i="148"/>
  <c r="L718" i="148" s="1"/>
  <c r="N718" i="148"/>
  <c r="O718" i="148" s="1"/>
  <c r="H468" i="148"/>
  <c r="K468" i="148" s="1"/>
  <c r="L468" i="148" s="1"/>
  <c r="H601" i="148"/>
  <c r="K660" i="148"/>
  <c r="L660" i="148" s="1"/>
  <c r="N660" i="148"/>
  <c r="O660" i="148" s="1"/>
  <c r="H658" i="148"/>
  <c r="K658" i="148" s="1"/>
  <c r="K659" i="148"/>
  <c r="H232" i="148"/>
  <c r="K232" i="148" s="1"/>
  <c r="H127" i="148"/>
  <c r="K127" i="148" s="1"/>
  <c r="L127" i="148" s="1"/>
  <c r="H272" i="148"/>
  <c r="H163" i="148"/>
  <c r="K163" i="148" s="1"/>
  <c r="L163" i="148" s="1"/>
  <c r="H273" i="148"/>
  <c r="H164" i="148"/>
  <c r="K164" i="148" s="1"/>
  <c r="L164" i="148" s="1"/>
  <c r="H279" i="148"/>
  <c r="H168" i="148"/>
  <c r="K168" i="148" s="1"/>
  <c r="L168" i="148" s="1"/>
  <c r="H1102" i="14"/>
  <c r="H1105" i="14" s="1"/>
  <c r="H834" i="14"/>
  <c r="H837" i="14" s="1"/>
  <c r="H838" i="14" s="1"/>
  <c r="H1577" i="14"/>
  <c r="H1580" i="14" s="1"/>
  <c r="H1581" i="14" s="1"/>
  <c r="H1119" i="14"/>
  <c r="H1122" i="14" s="1"/>
  <c r="H437" i="148"/>
  <c r="K437" i="148" s="1"/>
  <c r="N375" i="148"/>
  <c r="O375" i="148" s="1"/>
  <c r="H385" i="148"/>
  <c r="I377" i="148"/>
  <c r="H381" i="148"/>
  <c r="K381" i="148" s="1"/>
  <c r="H372" i="148"/>
  <c r="K372" i="148" s="1"/>
  <c r="H382" i="148"/>
  <c r="K382" i="148" s="1"/>
  <c r="H373" i="148"/>
  <c r="K373" i="148" s="1"/>
  <c r="H361" i="148"/>
  <c r="K361" i="148" s="1"/>
  <c r="H380" i="148"/>
  <c r="K380" i="148" s="1"/>
  <c r="H371" i="148"/>
  <c r="K371" i="148" s="1"/>
  <c r="H1458" i="14"/>
  <c r="H1008" i="14"/>
  <c r="H1303" i="14"/>
  <c r="H691" i="14"/>
  <c r="H158" i="14"/>
  <c r="H157" i="14" s="1"/>
  <c r="H160" i="14" s="1"/>
  <c r="H161" i="14" s="1"/>
  <c r="H573" i="14"/>
  <c r="H813" i="14"/>
  <c r="H922" i="14"/>
  <c r="H921" i="14" s="1"/>
  <c r="H924" i="14" s="1"/>
  <c r="H925" i="14" s="1"/>
  <c r="H1205" i="14"/>
  <c r="H1177" i="14"/>
  <c r="H1234" i="14"/>
  <c r="H132" i="14"/>
  <c r="H1278" i="14"/>
  <c r="H979" i="14"/>
  <c r="H498" i="14"/>
  <c r="H1353" i="14"/>
  <c r="H1302" i="14"/>
  <c r="H893" i="14"/>
  <c r="H572" i="14"/>
  <c r="H1457" i="14"/>
  <c r="H1519" i="14"/>
  <c r="H1401" i="14"/>
  <c r="H766" i="14"/>
  <c r="H282" i="14"/>
  <c r="H184" i="14"/>
  <c r="H1482" i="14"/>
  <c r="H522" i="14"/>
  <c r="H234" i="14"/>
  <c r="H668" i="14"/>
  <c r="H623" i="14"/>
  <c r="H692" i="14"/>
  <c r="H547" i="14"/>
  <c r="H1324" i="14"/>
  <c r="H1323" i="14" s="1"/>
  <c r="H1326" i="14" s="1"/>
  <c r="H1327" i="14" s="1"/>
  <c r="H645" i="14"/>
  <c r="H716" i="14"/>
  <c r="H426" i="14"/>
  <c r="H378" i="14"/>
  <c r="H741" i="14"/>
  <c r="H812" i="14"/>
  <c r="H306" i="14"/>
  <c r="H1035" i="14"/>
  <c r="H1007" i="14"/>
  <c r="H622" i="14"/>
  <c r="H210" i="14"/>
  <c r="H1545" i="14"/>
  <c r="H258" i="14"/>
  <c r="H330" i="14"/>
  <c r="H474" i="14"/>
  <c r="H864" i="14"/>
  <c r="H863" i="14" s="1"/>
  <c r="H866" i="14" s="1"/>
  <c r="H867" i="14" s="1"/>
  <c r="H1375" i="14"/>
  <c r="H787" i="14"/>
  <c r="H789" i="14" s="1"/>
  <c r="H77" i="14"/>
  <c r="H79" i="14" s="1"/>
  <c r="H1108" i="14"/>
  <c r="H1206" i="14"/>
  <c r="H548" i="14"/>
  <c r="H1235" i="14"/>
  <c r="H980" i="14"/>
  <c r="H717" i="14"/>
  <c r="H1483" i="14"/>
  <c r="H235" i="14"/>
  <c r="H1402" i="14"/>
  <c r="H211" i="14"/>
  <c r="H767" i="14"/>
  <c r="H499" i="14"/>
  <c r="H427" i="14"/>
  <c r="H1354" i="14"/>
  <c r="H379" i="14"/>
  <c r="H742" i="14"/>
  <c r="H307" i="14"/>
  <c r="H1376" i="14"/>
  <c r="H185" i="14"/>
  <c r="H331" i="14"/>
  <c r="H475" i="14"/>
  <c r="H1178" i="14"/>
  <c r="H133" i="14"/>
  <c r="H1279" i="14"/>
  <c r="H646" i="14"/>
  <c r="H259" i="14"/>
  <c r="H523" i="14"/>
  <c r="H1036" i="14"/>
  <c r="H1520" i="14"/>
  <c r="H894" i="14"/>
  <c r="H892" i="14" s="1"/>
  <c r="H895" i="14" s="1"/>
  <c r="H896" i="14" s="1"/>
  <c r="H669" i="14"/>
  <c r="H1546" i="14"/>
  <c r="H283" i="14"/>
  <c r="H865" i="14"/>
  <c r="H445" i="14"/>
  <c r="N716" i="148"/>
  <c r="O716" i="148" s="1"/>
  <c r="H414" i="148"/>
  <c r="H717" i="148"/>
  <c r="K717" i="148" s="1"/>
  <c r="L717" i="148" s="1"/>
  <c r="H415" i="148"/>
  <c r="H53" i="14"/>
  <c r="H103" i="14"/>
  <c r="H101" i="14" s="1"/>
  <c r="H104" i="14" s="1"/>
  <c r="N281" i="148"/>
  <c r="O281" i="148" s="1"/>
  <c r="O283" i="148"/>
  <c r="K283" i="148"/>
  <c r="L283" i="148" s="1"/>
  <c r="N282" i="148"/>
  <c r="J27" i="49"/>
  <c r="J26" i="49"/>
  <c r="H727" i="148"/>
  <c r="H324" i="148"/>
  <c r="K324" i="148" s="1"/>
  <c r="L324" i="148" s="1"/>
  <c r="N725" i="148"/>
  <c r="O725" i="148" s="1"/>
  <c r="H704" i="148"/>
  <c r="K704" i="148" s="1"/>
  <c r="H683" i="148"/>
  <c r="K683" i="148" s="1"/>
  <c r="H697" i="148"/>
  <c r="K697" i="148" s="1"/>
  <c r="N263" i="148"/>
  <c r="O263" i="148" s="1"/>
  <c r="K263" i="148"/>
  <c r="L263" i="148" s="1"/>
  <c r="H413" i="148"/>
  <c r="K413" i="148" s="1"/>
  <c r="H438" i="148"/>
  <c r="K438" i="148" s="1"/>
  <c r="H548" i="148"/>
  <c r="K548" i="148" s="1"/>
  <c r="H363" i="148"/>
  <c r="K363" i="148" s="1"/>
  <c r="H369" i="148"/>
  <c r="K369" i="148" s="1"/>
  <c r="H353" i="148"/>
  <c r="K353" i="148" s="1"/>
  <c r="H204" i="148"/>
  <c r="K204" i="148" s="1"/>
  <c r="L204" i="148" s="1"/>
  <c r="H360" i="148"/>
  <c r="H897" i="148"/>
  <c r="N897" i="148" s="1"/>
  <c r="O897" i="148" s="1"/>
  <c r="H354" i="148"/>
  <c r="H338" i="148"/>
  <c r="K338" i="148" s="1"/>
  <c r="L338" i="148" s="1"/>
  <c r="H321" i="148"/>
  <c r="K321" i="148" s="1"/>
  <c r="L321" i="148" s="1"/>
  <c r="M27" i="49"/>
  <c r="M26" i="49"/>
  <c r="H319" i="148"/>
  <c r="K319" i="148" s="1"/>
  <c r="L319" i="148" s="1"/>
  <c r="G26" i="49"/>
  <c r="G27" i="49"/>
  <c r="J12" i="49"/>
  <c r="G12" i="49"/>
  <c r="H320" i="148"/>
  <c r="N320" i="148" s="1"/>
  <c r="O320" i="148" s="1"/>
  <c r="H318" i="148"/>
  <c r="K318" i="148" s="1"/>
  <c r="L318" i="148" s="1"/>
  <c r="D26" i="49"/>
  <c r="D27" i="49"/>
  <c r="H390" i="148"/>
  <c r="K390" i="148" s="1"/>
  <c r="H410" i="148"/>
  <c r="K410" i="148" s="1"/>
  <c r="H412" i="148"/>
  <c r="K412" i="148" s="1"/>
  <c r="H267" i="148"/>
  <c r="H325" i="148"/>
  <c r="H594" i="148"/>
  <c r="H460" i="148"/>
  <c r="K460" i="148" s="1"/>
  <c r="L460" i="148" s="1"/>
  <c r="H621" i="148"/>
  <c r="K621" i="148" s="1"/>
  <c r="L621" i="148" s="1"/>
  <c r="H632" i="148"/>
  <c r="N632" i="148" s="1"/>
  <c r="O632" i="148" s="1"/>
  <c r="H250" i="148"/>
  <c r="H258" i="148"/>
  <c r="K258" i="148" s="1"/>
  <c r="L258" i="148" s="1"/>
  <c r="K554" i="148"/>
  <c r="L554" i="148" s="1"/>
  <c r="N554" i="148"/>
  <c r="O554" i="148" s="1"/>
  <c r="H34" i="14"/>
  <c r="H32" i="14" s="1"/>
  <c r="H20" i="14"/>
  <c r="H7" i="14" s="1"/>
  <c r="H308" i="148"/>
  <c r="K549" i="148"/>
  <c r="L549" i="148" s="1"/>
  <c r="H110" i="148"/>
  <c r="H682" i="148"/>
  <c r="K682" i="148" s="1"/>
  <c r="H507" i="148"/>
  <c r="K507" i="148" s="1"/>
  <c r="H629" i="148"/>
  <c r="K629" i="148" s="1"/>
  <c r="H512" i="148"/>
  <c r="K512" i="148" s="1"/>
  <c r="H508" i="148"/>
  <c r="K508" i="148" s="1"/>
  <c r="H625" i="148"/>
  <c r="K625" i="148" s="1"/>
  <c r="H627" i="148"/>
  <c r="K627" i="148" s="1"/>
  <c r="H510" i="148"/>
  <c r="K510" i="148" s="1"/>
  <c r="H513" i="148"/>
  <c r="K513" i="148" s="1"/>
  <c r="H630" i="148"/>
  <c r="K630" i="148" s="1"/>
  <c r="H570" i="148"/>
  <c r="K570" i="148" s="1"/>
  <c r="H511" i="148"/>
  <c r="K511" i="148" s="1"/>
  <c r="H628" i="148"/>
  <c r="K628" i="148" s="1"/>
  <c r="H505" i="148"/>
  <c r="K505" i="148" s="1"/>
  <c r="H624" i="148"/>
  <c r="K624" i="148" s="1"/>
  <c r="H295" i="148"/>
  <c r="K295" i="148" s="1"/>
  <c r="H303" i="148"/>
  <c r="K303" i="148" s="1"/>
  <c r="H559" i="148"/>
  <c r="N559" i="148" s="1"/>
  <c r="O559" i="148" s="1"/>
  <c r="H299" i="148"/>
  <c r="N299" i="148" s="1"/>
  <c r="O299" i="148" s="1"/>
  <c r="H249" i="148"/>
  <c r="K249" i="148" s="1"/>
  <c r="H170" i="148"/>
  <c r="K170" i="148" s="1"/>
  <c r="L170" i="148" s="1"/>
  <c r="H228" i="148"/>
  <c r="N228" i="148" s="1"/>
  <c r="O228" i="148" s="1"/>
  <c r="H309" i="148"/>
  <c r="H264" i="148"/>
  <c r="K264" i="148" s="1"/>
  <c r="L264" i="148" s="1"/>
  <c r="H298" i="148"/>
  <c r="K298" i="148" s="1"/>
  <c r="L298" i="148" s="1"/>
  <c r="H253" i="148"/>
  <c r="H544" i="148"/>
  <c r="N388" i="148"/>
  <c r="O388" i="148" s="1"/>
  <c r="N840" i="148"/>
  <c r="O840" i="148" s="1"/>
  <c r="N435" i="148"/>
  <c r="O435" i="148" s="1"/>
  <c r="N403" i="148"/>
  <c r="O403" i="148" s="1"/>
  <c r="O552" i="148"/>
  <c r="N623" i="148"/>
  <c r="O623" i="148" s="1"/>
  <c r="K875" i="148"/>
  <c r="N874" i="148"/>
  <c r="O874" i="148" s="1"/>
  <c r="K523" i="148"/>
  <c r="N522" i="148"/>
  <c r="O522" i="148" s="1"/>
  <c r="K424" i="148"/>
  <c r="N423" i="148"/>
  <c r="O423" i="148" s="1"/>
  <c r="K530" i="148"/>
  <c r="N529" i="148"/>
  <c r="O529" i="148" s="1"/>
  <c r="N398" i="148"/>
  <c r="O398" i="148" s="1"/>
  <c r="N684" i="148"/>
  <c r="O684" i="148" s="1"/>
  <c r="N569" i="148"/>
  <c r="O569" i="148" s="1"/>
  <c r="N650" i="148"/>
  <c r="O650" i="148" s="1"/>
  <c r="H224" i="148"/>
  <c r="N224" i="148" s="1"/>
  <c r="O224" i="148" s="1"/>
  <c r="H268" i="148"/>
  <c r="K268" i="148" s="1"/>
  <c r="L268" i="148" s="1"/>
  <c r="N114" i="148"/>
  <c r="O114" i="148" s="1"/>
  <c r="K114" i="148"/>
  <c r="L114" i="148" s="1"/>
  <c r="N112" i="148"/>
  <c r="O112" i="148" s="1"/>
  <c r="K112" i="148"/>
  <c r="L112" i="148" s="1"/>
  <c r="K467" i="148"/>
  <c r="L467" i="148" s="1"/>
  <c r="K243" i="148"/>
  <c r="L243" i="148" s="1"/>
  <c r="N243" i="148"/>
  <c r="O243" i="148" s="1"/>
  <c r="N521" i="148"/>
  <c r="O521" i="148" s="1"/>
  <c r="K521" i="148"/>
  <c r="L521" i="148" s="1"/>
  <c r="H145" i="148"/>
  <c r="K145" i="148" s="1"/>
  <c r="L145" i="148" s="1"/>
  <c r="H169" i="148"/>
  <c r="K169" i="148" s="1"/>
  <c r="L169" i="148" s="1"/>
  <c r="K244" i="148"/>
  <c r="L244" i="148" s="1"/>
  <c r="N244" i="148"/>
  <c r="O244" i="148" s="1"/>
  <c r="K234" i="148"/>
  <c r="L234" i="148" s="1"/>
  <c r="N234" i="148"/>
  <c r="O234" i="148" s="1"/>
  <c r="N78" i="148"/>
  <c r="O78" i="148" s="1"/>
  <c r="K78" i="148"/>
  <c r="L78" i="148" s="1"/>
  <c r="L571" i="148"/>
  <c r="N571" i="148"/>
  <c r="O571" i="148" s="1"/>
  <c r="K572" i="148"/>
  <c r="L572" i="148" s="1"/>
  <c r="N572" i="148"/>
  <c r="O572" i="148" s="1"/>
  <c r="L562" i="148"/>
  <c r="L95" i="148"/>
  <c r="N95" i="148"/>
  <c r="N467" i="148"/>
  <c r="O467" i="148" s="1"/>
  <c r="H96" i="148"/>
  <c r="K96" i="148" s="1"/>
  <c r="H128" i="148"/>
  <c r="K128" i="148" s="1"/>
  <c r="H474" i="148"/>
  <c r="K474" i="148" s="1"/>
  <c r="H607" i="148"/>
  <c r="K607" i="148" s="1"/>
  <c r="H577" i="148"/>
  <c r="K577" i="148" s="1"/>
  <c r="H443" i="148"/>
  <c r="K443" i="148" s="1"/>
  <c r="H590" i="148"/>
  <c r="K590" i="148" s="1"/>
  <c r="H456" i="148"/>
  <c r="K456" i="148" s="1"/>
  <c r="H447" i="148"/>
  <c r="K447" i="148" s="1"/>
  <c r="H478" i="148"/>
  <c r="K478" i="148" s="1"/>
  <c r="H611" i="148"/>
  <c r="K611" i="148" s="1"/>
  <c r="H581" i="148"/>
  <c r="K581" i="148" s="1"/>
  <c r="H479" i="148"/>
  <c r="K479" i="148" s="1"/>
  <c r="H475" i="148"/>
  <c r="K475" i="148" s="1"/>
  <c r="H612" i="148"/>
  <c r="K612" i="148" s="1"/>
  <c r="H608" i="148"/>
  <c r="K608" i="148" s="1"/>
  <c r="H449" i="148"/>
  <c r="N448" i="148" s="1"/>
  <c r="O448" i="148" s="1"/>
  <c r="H583" i="148"/>
  <c r="N582" i="148" s="1"/>
  <c r="O582" i="148" s="1"/>
  <c r="H484" i="148"/>
  <c r="K484" i="148" s="1"/>
  <c r="H586" i="148"/>
  <c r="H452" i="148"/>
  <c r="K452" i="148" s="1"/>
  <c r="H488" i="148"/>
  <c r="H618" i="148"/>
  <c r="N617" i="148" s="1"/>
  <c r="O617" i="148" s="1"/>
  <c r="H441" i="148"/>
  <c r="H575" i="148"/>
  <c r="H472" i="148"/>
  <c r="K472" i="148" s="1"/>
  <c r="H605" i="148"/>
  <c r="K605" i="148" s="1"/>
  <c r="H497" i="148"/>
  <c r="H600" i="148"/>
  <c r="N600" i="148" s="1"/>
  <c r="O600" i="148" s="1"/>
  <c r="H597" i="148"/>
  <c r="H494" i="148"/>
  <c r="H480" i="148"/>
  <c r="K480" i="148" s="1"/>
  <c r="H446" i="148"/>
  <c r="K446" i="148" s="1"/>
  <c r="H613" i="148"/>
  <c r="K613" i="148" s="1"/>
  <c r="H580" i="148"/>
  <c r="K580" i="148" s="1"/>
  <c r="H217" i="148"/>
  <c r="N217" i="148" s="1"/>
  <c r="O217" i="148" s="1"/>
  <c r="H492" i="148"/>
  <c r="H486" i="148"/>
  <c r="K486" i="148" s="1"/>
  <c r="H622" i="148"/>
  <c r="H462" i="148"/>
  <c r="H596" i="148"/>
  <c r="K596" i="148" s="1"/>
  <c r="L596" i="148" s="1"/>
  <c r="K499" i="148"/>
  <c r="L499" i="148" s="1"/>
  <c r="N499" i="148"/>
  <c r="O499" i="148" s="1"/>
  <c r="K498" i="148"/>
  <c r="L498" i="148" s="1"/>
  <c r="L491" i="148"/>
  <c r="N491" i="148"/>
  <c r="O491" i="148" s="1"/>
  <c r="N451" i="148"/>
  <c r="O451" i="148" s="1"/>
  <c r="K451" i="148"/>
  <c r="L451" i="148" s="1"/>
  <c r="H457" i="148"/>
  <c r="K457" i="148" s="1"/>
  <c r="H591" i="148"/>
  <c r="K591" i="148" s="1"/>
  <c r="H578" i="148"/>
  <c r="K578" i="148" s="1"/>
  <c r="H444" i="148"/>
  <c r="K444" i="148" s="1"/>
  <c r="H469" i="148"/>
  <c r="K469" i="148" s="1"/>
  <c r="H482" i="148"/>
  <c r="K482" i="148" s="1"/>
  <c r="H634" i="148"/>
  <c r="N633" i="148" s="1"/>
  <c r="O633" i="148" s="1"/>
  <c r="H490" i="148"/>
  <c r="K490" i="148" s="1"/>
  <c r="H615" i="148"/>
  <c r="K615" i="148" s="1"/>
  <c r="H620" i="148"/>
  <c r="K620" i="148" s="1"/>
  <c r="H459" i="148"/>
  <c r="K459" i="148" s="1"/>
  <c r="H593" i="148"/>
  <c r="K593" i="148" s="1"/>
  <c r="H454" i="148"/>
  <c r="K454" i="148" s="1"/>
  <c r="H588" i="148"/>
  <c r="K588" i="148" s="1"/>
  <c r="H473" i="148"/>
  <c r="K473" i="148" s="1"/>
  <c r="H606" i="148"/>
  <c r="K606" i="148" s="1"/>
  <c r="H598" i="148"/>
  <c r="H495" i="148"/>
  <c r="H489" i="148"/>
  <c r="K489" i="148" s="1"/>
  <c r="H619" i="148"/>
  <c r="K619" i="148" s="1"/>
  <c r="H455" i="148"/>
  <c r="K455" i="148" s="1"/>
  <c r="H476" i="148"/>
  <c r="K476" i="148" s="1"/>
  <c r="H609" i="148"/>
  <c r="K609" i="148" s="1"/>
  <c r="H576" i="148"/>
  <c r="K576" i="148" s="1"/>
  <c r="H442" i="148"/>
  <c r="K442" i="148" s="1"/>
  <c r="H589" i="148"/>
  <c r="K589" i="148" s="1"/>
  <c r="H471" i="148"/>
  <c r="H604" i="148"/>
  <c r="H458" i="148"/>
  <c r="K458" i="148" s="1"/>
  <c r="H599" i="148"/>
  <c r="K599" i="148" s="1"/>
  <c r="H592" i="148"/>
  <c r="K592" i="148" s="1"/>
  <c r="H496" i="148"/>
  <c r="K496" i="148" s="1"/>
  <c r="N163" i="148"/>
  <c r="O163" i="148" s="1"/>
  <c r="H171" i="148"/>
  <c r="K171" i="148" s="1"/>
  <c r="H120" i="148"/>
  <c r="H88" i="148"/>
  <c r="H99" i="148"/>
  <c r="K99" i="148" s="1"/>
  <c r="H130" i="148"/>
  <c r="K130" i="148" s="1"/>
  <c r="H100" i="148"/>
  <c r="K100" i="148" s="1"/>
  <c r="N121" i="148"/>
  <c r="O121" i="148" s="1"/>
  <c r="K121" i="148"/>
  <c r="L121" i="148" s="1"/>
  <c r="K83" i="148"/>
  <c r="L83" i="148" s="1"/>
  <c r="O83" i="148"/>
  <c r="O13" i="148"/>
  <c r="K13" i="148"/>
  <c r="L13" i="148" s="1"/>
  <c r="H946" i="148"/>
  <c r="K946" i="148" s="1"/>
  <c r="O12" i="148"/>
  <c r="K12" i="148"/>
  <c r="L12" i="148" s="1"/>
  <c r="K636" i="148"/>
  <c r="L636" i="148" s="1"/>
  <c r="K333" i="148"/>
  <c r="H70" i="148"/>
  <c r="K70" i="148" s="1"/>
  <c r="H133" i="148"/>
  <c r="K133" i="148" s="1"/>
  <c r="K845" i="148"/>
  <c r="H103" i="148"/>
  <c r="K103" i="148" s="1"/>
  <c r="H952" i="148"/>
  <c r="K952" i="148" s="1"/>
  <c r="H681" i="148"/>
  <c r="K681" i="148" s="1"/>
  <c r="H151" i="148"/>
  <c r="K151" i="148" s="1"/>
  <c r="H695" i="148"/>
  <c r="K695" i="148" s="1"/>
  <c r="H945" i="148"/>
  <c r="K945" i="148" s="1"/>
  <c r="H948" i="148"/>
  <c r="K948" i="148" s="1"/>
  <c r="K635" i="148"/>
  <c r="L635" i="148" s="1"/>
  <c r="N635" i="148"/>
  <c r="O635" i="148" s="1"/>
  <c r="H40" i="148"/>
  <c r="H10" i="148"/>
  <c r="H315" i="148"/>
  <c r="K315" i="148" s="1"/>
  <c r="H25" i="148"/>
  <c r="K25" i="148" s="1"/>
  <c r="H311" i="148"/>
  <c r="K311" i="148" s="1"/>
  <c r="H69" i="148"/>
  <c r="K69" i="148" s="1"/>
  <c r="N957" i="148"/>
  <c r="O957" i="148" s="1"/>
  <c r="K957" i="148"/>
  <c r="L957" i="148" s="1"/>
  <c r="H33" i="148"/>
  <c r="K33" i="148" s="1"/>
  <c r="H692" i="148"/>
  <c r="K692" i="148" s="1"/>
  <c r="H425" i="148"/>
  <c r="K425" i="148" s="1"/>
  <c r="H501" i="148"/>
  <c r="K501" i="148" s="1"/>
  <c r="K401" i="148"/>
  <c r="N293" i="148"/>
  <c r="O293" i="148" s="1"/>
  <c r="K293" i="148"/>
  <c r="L293" i="148" s="1"/>
  <c r="N386" i="148"/>
  <c r="O386" i="148" s="1"/>
  <c r="K386" i="148"/>
  <c r="L386" i="148" s="1"/>
  <c r="K940" i="148"/>
  <c r="L940" i="148" s="1"/>
  <c r="H304" i="148"/>
  <c r="K304" i="148" s="1"/>
  <c r="L304" i="148" s="1"/>
  <c r="H80" i="148"/>
  <c r="K80" i="148" s="1"/>
  <c r="H638" i="148"/>
  <c r="H55" i="148"/>
  <c r="K55" i="148" s="1"/>
  <c r="H417" i="148"/>
  <c r="H418" i="148"/>
  <c r="H809" i="148"/>
  <c r="K809" i="148" s="1"/>
  <c r="H42" i="148"/>
  <c r="K42" i="148" s="1"/>
  <c r="H528" i="148"/>
  <c r="H14" i="148"/>
  <c r="K14" i="148" s="1"/>
  <c r="H307" i="148"/>
  <c r="N306" i="148" s="1"/>
  <c r="O306" i="148" s="1"/>
  <c r="H81" i="148"/>
  <c r="K81" i="148" s="1"/>
  <c r="H810" i="148"/>
  <c r="K810" i="148" s="1"/>
  <c r="H94" i="148"/>
  <c r="K94" i="148" s="1"/>
  <c r="H637" i="148"/>
  <c r="N636" i="148" s="1"/>
  <c r="O636" i="148" s="1"/>
  <c r="H140" i="148"/>
  <c r="H205" i="148"/>
  <c r="O541" i="148"/>
  <c r="H101" i="148"/>
  <c r="K101" i="148" s="1"/>
  <c r="K296" i="148"/>
  <c r="H39" i="148"/>
  <c r="K39" i="148" s="1"/>
  <c r="H956" i="148"/>
  <c r="N955" i="148" s="1"/>
  <c r="O955" i="148" s="1"/>
  <c r="H719" i="148"/>
  <c r="H48" i="148"/>
  <c r="K48" i="148" s="1"/>
  <c r="H655" i="148"/>
  <c r="K655" i="148" s="1"/>
  <c r="H153" i="148"/>
  <c r="K153" i="148" s="1"/>
  <c r="H543" i="148"/>
  <c r="H313" i="148"/>
  <c r="K313" i="148" s="1"/>
  <c r="K77" i="148"/>
  <c r="L77" i="148" s="1"/>
  <c r="O77" i="148"/>
  <c r="H18" i="148"/>
  <c r="K18" i="148" s="1"/>
  <c r="H195" i="148"/>
  <c r="K195" i="148" s="1"/>
  <c r="H124" i="148"/>
  <c r="K124" i="148" s="1"/>
  <c r="H49" i="148"/>
  <c r="K49" i="148" s="1"/>
  <c r="H527" i="148"/>
  <c r="N527" i="148" s="1"/>
  <c r="H223" i="148"/>
  <c r="N223" i="148" s="1"/>
  <c r="O223" i="148" s="1"/>
  <c r="H297" i="148"/>
  <c r="N297" i="148" s="1"/>
  <c r="O297" i="148" s="1"/>
  <c r="H252" i="148"/>
  <c r="H323" i="148"/>
  <c r="K323" i="148" s="1"/>
  <c r="H208" i="148"/>
  <c r="K208" i="148" s="1"/>
  <c r="H220" i="148"/>
  <c r="H199" i="148"/>
  <c r="K199" i="148" s="1"/>
  <c r="H227" i="148"/>
  <c r="N201" i="148"/>
  <c r="O201" i="148" s="1"/>
  <c r="K201" i="148"/>
  <c r="L201" i="148" s="1"/>
  <c r="K242" i="148"/>
  <c r="L242" i="148" s="1"/>
  <c r="N242" i="148"/>
  <c r="O242" i="148" s="1"/>
  <c r="N200" i="148"/>
  <c r="O200" i="148" s="1"/>
  <c r="L200" i="148"/>
  <c r="H518" i="148"/>
  <c r="H241" i="148"/>
  <c r="K241" i="148" s="1"/>
  <c r="H226" i="148"/>
  <c r="H198" i="148"/>
  <c r="K198" i="148" s="1"/>
  <c r="N183" i="148"/>
  <c r="O183" i="148" s="1"/>
  <c r="L183" i="148"/>
  <c r="F68" i="151"/>
  <c r="H46" i="148"/>
  <c r="K46" i="148" s="1"/>
  <c r="H16" i="148"/>
  <c r="K16" i="148" s="1"/>
  <c r="H113" i="148"/>
  <c r="K113" i="148" s="1"/>
  <c r="H152" i="148"/>
  <c r="K152" i="148" s="1"/>
  <c r="H71" i="148"/>
  <c r="K71" i="148" s="1"/>
  <c r="H135" i="148"/>
  <c r="K135" i="148" s="1"/>
  <c r="H691" i="148"/>
  <c r="K691" i="148" s="1"/>
  <c r="H688" i="148"/>
  <c r="K688" i="148" s="1"/>
  <c r="H106" i="148"/>
  <c r="K106" i="148" s="1"/>
  <c r="H45" i="148"/>
  <c r="K45" i="148" s="1"/>
  <c r="H15" i="148"/>
  <c r="K15" i="148" s="1"/>
  <c r="H942" i="148"/>
  <c r="H259" i="148"/>
  <c r="K259" i="148" s="1"/>
  <c r="L155" i="148"/>
  <c r="N155" i="148"/>
  <c r="O155" i="148" s="1"/>
  <c r="K520" i="148"/>
  <c r="L520" i="148" s="1"/>
  <c r="N520" i="148"/>
  <c r="O520" i="148" s="1"/>
  <c r="L160" i="148"/>
  <c r="N160" i="148"/>
  <c r="O160" i="148" s="1"/>
  <c r="N256" i="148"/>
  <c r="O256" i="148" s="1"/>
  <c r="L256" i="148"/>
  <c r="N229" i="148"/>
  <c r="O229" i="148" s="1"/>
  <c r="K229" i="148"/>
  <c r="L229" i="148" s="1"/>
  <c r="K257" i="148"/>
  <c r="L257" i="148" s="1"/>
  <c r="N257" i="148"/>
  <c r="O257" i="148" s="1"/>
  <c r="K602" i="148"/>
  <c r="L602" i="148" s="1"/>
  <c r="N602" i="148"/>
  <c r="O602" i="148" s="1"/>
  <c r="N269" i="148"/>
  <c r="O269" i="148" s="1"/>
  <c r="L269" i="148"/>
  <c r="H102" i="148"/>
  <c r="K102" i="148" s="1"/>
  <c r="H680" i="148"/>
  <c r="K680" i="148" s="1"/>
  <c r="H98" i="148"/>
  <c r="K98" i="148" s="1"/>
  <c r="N931" i="148"/>
  <c r="O931" i="148" s="1"/>
  <c r="F51" i="151"/>
  <c r="H342" i="148"/>
  <c r="K342" i="148" s="1"/>
  <c r="H134" i="148"/>
  <c r="K134" i="148" s="1"/>
  <c r="H690" i="148"/>
  <c r="K690" i="148" s="1"/>
  <c r="H34" i="148"/>
  <c r="K34" i="148" s="1"/>
  <c r="H502" i="148"/>
  <c r="K502" i="148" s="1"/>
  <c r="H426" i="148"/>
  <c r="K426" i="148" s="1"/>
  <c r="K402" i="148"/>
  <c r="O11" i="148"/>
  <c r="K11" i="148"/>
  <c r="L11" i="148" s="1"/>
  <c r="K916" i="148"/>
  <c r="L916" i="148" s="1"/>
  <c r="N916" i="148"/>
  <c r="O916" i="148" s="1"/>
  <c r="N726" i="148"/>
  <c r="O726" i="148" s="1"/>
  <c r="N262" i="148"/>
  <c r="O262" i="148" s="1"/>
  <c r="K262" i="148"/>
  <c r="L262" i="148" s="1"/>
  <c r="L181" i="148"/>
  <c r="K941" i="148"/>
  <c r="L941" i="148" s="1"/>
  <c r="N941" i="148"/>
  <c r="O941" i="148" s="1"/>
  <c r="K938" i="148"/>
  <c r="L938" i="148" s="1"/>
  <c r="N938" i="148"/>
  <c r="O938" i="148" s="1"/>
  <c r="K585" i="148"/>
  <c r="L585" i="148" s="1"/>
  <c r="N585" i="148"/>
  <c r="O585" i="148" s="1"/>
  <c r="O41" i="148"/>
  <c r="K41" i="148"/>
  <c r="L41" i="148" s="1"/>
  <c r="N178" i="148"/>
  <c r="O178" i="148" s="1"/>
  <c r="L178" i="148"/>
  <c r="N141" i="148"/>
  <c r="O141" i="148" s="1"/>
  <c r="L141" i="148"/>
  <c r="N221" i="148"/>
  <c r="O221" i="148" s="1"/>
  <c r="K221" i="148"/>
  <c r="L221" i="148" s="1"/>
  <c r="L180" i="148"/>
  <c r="N180" i="148"/>
  <c r="O180" i="148" s="1"/>
  <c r="H431" i="148"/>
  <c r="H349" i="148"/>
  <c r="K349" i="148" s="1"/>
  <c r="N182" i="148"/>
  <c r="O182" i="148" s="1"/>
  <c r="K182" i="148"/>
  <c r="L182" i="148" s="1"/>
  <c r="K429" i="148"/>
  <c r="L429" i="148" s="1"/>
  <c r="N429" i="148"/>
  <c r="O429" i="148" s="1"/>
  <c r="K542" i="148"/>
  <c r="L542" i="148" s="1"/>
  <c r="O542" i="148"/>
  <c r="K300" i="148"/>
  <c r="L300" i="148" s="1"/>
  <c r="O89" i="148"/>
  <c r="K89" i="148"/>
  <c r="L89" i="148" s="1"/>
  <c r="K228" i="148"/>
  <c r="L228" i="148" s="1"/>
  <c r="H105" i="148"/>
  <c r="K105" i="148" s="1"/>
  <c r="L173" i="148"/>
  <c r="N173" i="148"/>
  <c r="O173" i="148" s="1"/>
  <c r="N893" i="148"/>
  <c r="O893" i="148" s="1"/>
  <c r="K893" i="148"/>
  <c r="L893" i="148" s="1"/>
  <c r="H179" i="148"/>
  <c r="K179" i="148" s="1"/>
  <c r="H176" i="148"/>
  <c r="K176" i="148" s="1"/>
  <c r="K935" i="148"/>
  <c r="L935" i="148" s="1"/>
  <c r="N935" i="148"/>
  <c r="O935" i="148" s="1"/>
  <c r="N918" i="148"/>
  <c r="O918" i="148" s="1"/>
  <c r="K917" i="148"/>
  <c r="L917" i="148" s="1"/>
  <c r="H951" i="148"/>
  <c r="K951" i="148" s="1"/>
  <c r="K251" i="148"/>
  <c r="L251" i="148" s="1"/>
  <c r="N251" i="148"/>
  <c r="O251" i="148" s="1"/>
  <c r="H427" i="148"/>
  <c r="H37" i="148"/>
  <c r="N37" i="148" s="1"/>
  <c r="H693" i="148"/>
  <c r="H503" i="148"/>
  <c r="K143" i="148"/>
  <c r="L143" i="148" s="1"/>
  <c r="N143" i="148"/>
  <c r="O143" i="148" s="1"/>
  <c r="O36" i="148"/>
  <c r="K36" i="148"/>
  <c r="L36" i="148" s="1"/>
  <c r="K939" i="148"/>
  <c r="L939" i="148" s="1"/>
  <c r="N939" i="148"/>
  <c r="O939" i="148" s="1"/>
  <c r="L270" i="148"/>
  <c r="N270" i="148"/>
  <c r="O270" i="148" s="1"/>
  <c r="J1159" i="14"/>
  <c r="H1068" i="14"/>
  <c r="J1523" i="14"/>
  <c r="J490" i="14"/>
  <c r="H1097" i="14"/>
  <c r="J1335" i="14"/>
  <c r="J1157" i="14"/>
  <c r="J1175" i="14"/>
  <c r="J1178" i="14"/>
  <c r="J1160" i="14"/>
  <c r="J1156" i="14"/>
  <c r="J1162" i="14"/>
  <c r="J1155" i="14"/>
  <c r="J1176" i="14"/>
  <c r="J1173" i="14"/>
  <c r="J1172" i="14"/>
  <c r="J1169" i="14"/>
  <c r="J1170" i="14"/>
  <c r="J1167" i="14"/>
  <c r="J1168" i="14"/>
  <c r="J1181" i="14"/>
  <c r="J1165" i="14"/>
  <c r="J1180" i="14"/>
  <c r="J1164" i="14"/>
  <c r="J1177" i="14"/>
  <c r="J1161" i="14"/>
  <c r="J1174" i="14"/>
  <c r="J1166" i="14"/>
  <c r="J1158" i="14"/>
  <c r="J1179" i="14"/>
  <c r="J1171" i="14"/>
  <c r="J1163" i="14"/>
  <c r="J1189" i="14"/>
  <c r="J1386" i="14"/>
  <c r="J750" i="14"/>
  <c r="H1481" i="14"/>
  <c r="H1484" i="14" s="1"/>
  <c r="H1485" i="14" s="1"/>
  <c r="J1213" i="14"/>
  <c r="H1430" i="14"/>
  <c r="H1433" i="14" s="1"/>
  <c r="H352" i="14"/>
  <c r="H355" i="14" s="1"/>
  <c r="J1490" i="14"/>
  <c r="J1493" i="14"/>
  <c r="J1504" i="14"/>
  <c r="J1508" i="14"/>
  <c r="H400" i="14"/>
  <c r="H403" i="14" s="1"/>
  <c r="H1153" i="14"/>
  <c r="H1260" i="14" l="1"/>
  <c r="K934" i="148"/>
  <c r="L934" i="148" s="1"/>
  <c r="H955" i="14"/>
  <c r="H978" i="14"/>
  <c r="H981" i="14" s="1"/>
  <c r="H1400" i="14"/>
  <c r="H1403" i="14" s="1"/>
  <c r="H1404" i="14" s="1"/>
  <c r="H131" i="14"/>
  <c r="H134" i="14" s="1"/>
  <c r="H135" i="14" s="1"/>
  <c r="N399" i="148"/>
  <c r="O399" i="148" s="1"/>
  <c r="H167" i="148"/>
  <c r="K167" i="148" s="1"/>
  <c r="L167" i="148" s="1"/>
  <c r="N181" i="148"/>
  <c r="O181" i="148" s="1"/>
  <c r="K950" i="148"/>
  <c r="L950" i="148" s="1"/>
  <c r="H740" i="14"/>
  <c r="H743" i="14" s="1"/>
  <c r="H744" i="14" s="1"/>
  <c r="H621" i="14"/>
  <c r="H624" i="14" s="1"/>
  <c r="H625" i="14" s="1"/>
  <c r="K794" i="148"/>
  <c r="H276" i="148"/>
  <c r="K276" i="148" s="1"/>
  <c r="L276" i="148" s="1"/>
  <c r="H793" i="148"/>
  <c r="K793" i="148" s="1"/>
  <c r="L793" i="148" s="1"/>
  <c r="N210" i="148"/>
  <c r="O210" i="148" s="1"/>
  <c r="K519" i="148"/>
  <c r="L519" i="148" s="1"/>
  <c r="K901" i="148"/>
  <c r="L901" i="148" s="1"/>
  <c r="H597" i="14"/>
  <c r="H596" i="14" s="1"/>
  <c r="H599" i="14" s="1"/>
  <c r="H600" i="14" s="1"/>
  <c r="H601" i="14" s="1"/>
  <c r="H577" i="14" s="1"/>
  <c r="K158" i="148"/>
  <c r="L158" i="148" s="1"/>
  <c r="N721" i="148"/>
  <c r="O721" i="148" s="1"/>
  <c r="N821" i="148"/>
  <c r="O821" i="148" s="1"/>
  <c r="N717" i="148"/>
  <c r="O717" i="148" s="1"/>
  <c r="K883" i="148"/>
  <c r="L883" i="148" s="1"/>
  <c r="K724" i="148"/>
  <c r="L724" i="148" s="1"/>
  <c r="N170" i="148"/>
  <c r="O170" i="148" s="1"/>
  <c r="N168" i="148"/>
  <c r="O168" i="148" s="1"/>
  <c r="H93" i="148"/>
  <c r="K93" i="148" s="1"/>
  <c r="N321" i="148"/>
  <c r="O321" i="148" s="1"/>
  <c r="K217" i="148"/>
  <c r="L217" i="148" s="1"/>
  <c r="K896" i="148"/>
  <c r="L896" i="148" s="1"/>
  <c r="N265" i="148"/>
  <c r="O265" i="148" s="1"/>
  <c r="N222" i="148"/>
  <c r="O222" i="148" s="1"/>
  <c r="N204" i="148"/>
  <c r="O204" i="148" s="1"/>
  <c r="N485" i="148"/>
  <c r="O485" i="148" s="1"/>
  <c r="N903" i="148"/>
  <c r="O903" i="148" s="1"/>
  <c r="N318" i="148"/>
  <c r="O318" i="148" s="1"/>
  <c r="H841" i="148"/>
  <c r="K841" i="148" s="1"/>
  <c r="N167" i="148"/>
  <c r="O167" i="148" s="1"/>
  <c r="N913" i="148"/>
  <c r="O913" i="148" s="1"/>
  <c r="N164" i="148"/>
  <c r="O164" i="148" s="1"/>
  <c r="N258" i="148"/>
  <c r="O258" i="148" s="1"/>
  <c r="K553" i="148"/>
  <c r="L553" i="148" s="1"/>
  <c r="N277" i="148"/>
  <c r="O277" i="148" s="1"/>
  <c r="K277" i="148"/>
  <c r="L277" i="148" s="1"/>
  <c r="K320" i="148"/>
  <c r="L320" i="148" s="1"/>
  <c r="K720" i="148"/>
  <c r="L720" i="148" s="1"/>
  <c r="K729" i="148"/>
  <c r="L729" i="148" s="1"/>
  <c r="H1301" i="14"/>
  <c r="H1304" i="14" s="1"/>
  <c r="H1305" i="14" s="1"/>
  <c r="H839" i="14"/>
  <c r="H817" i="14" s="1"/>
  <c r="H497" i="14"/>
  <c r="H500" i="14" s="1"/>
  <c r="H501" i="14" s="1"/>
  <c r="H1233" i="14"/>
  <c r="H1236" i="14" s="1"/>
  <c r="H1237" i="14" s="1"/>
  <c r="H305" i="14"/>
  <c r="H308" i="14" s="1"/>
  <c r="H309" i="14" s="1"/>
  <c r="H982" i="14"/>
  <c r="H983" i="14" s="1"/>
  <c r="H956" i="14" s="1"/>
  <c r="H377" i="14"/>
  <c r="H380" i="14" s="1"/>
  <c r="H209" i="14"/>
  <c r="H212" i="14" s="1"/>
  <c r="H1204" i="14"/>
  <c r="H1207" i="14" s="1"/>
  <c r="H1208" i="14" s="1"/>
  <c r="H738" i="148"/>
  <c r="K738" i="148" s="1"/>
  <c r="H842" i="148"/>
  <c r="K842" i="148" s="1"/>
  <c r="H927" i="148"/>
  <c r="K927" i="148" s="1"/>
  <c r="H829" i="148"/>
  <c r="K829" i="148" s="1"/>
  <c r="K351" i="148"/>
  <c r="L351" i="148" s="1"/>
  <c r="N351" i="148"/>
  <c r="O351" i="148" s="1"/>
  <c r="N919" i="148"/>
  <c r="O919" i="148" s="1"/>
  <c r="K919" i="148"/>
  <c r="L919" i="148" s="1"/>
  <c r="K812" i="148"/>
  <c r="L812" i="148" s="1"/>
  <c r="N812" i="148"/>
  <c r="O812" i="148" s="1"/>
  <c r="H831" i="148"/>
  <c r="K831" i="148" s="1"/>
  <c r="H929" i="148"/>
  <c r="K929" i="148" s="1"/>
  <c r="K730" i="148"/>
  <c r="L730" i="148" s="1"/>
  <c r="N730" i="148"/>
  <c r="O730" i="148" s="1"/>
  <c r="H756" i="148"/>
  <c r="K756" i="148" s="1"/>
  <c r="H732" i="148"/>
  <c r="K732" i="148" s="1"/>
  <c r="N278" i="148"/>
  <c r="O278" i="148" s="1"/>
  <c r="K278" i="148"/>
  <c r="L278" i="148" s="1"/>
  <c r="H347" i="148"/>
  <c r="K347" i="148" s="1"/>
  <c r="H731" i="148"/>
  <c r="K731" i="148" s="1"/>
  <c r="H773" i="148"/>
  <c r="K773" i="148" s="1"/>
  <c r="H877" i="148"/>
  <c r="K877" i="148" s="1"/>
  <c r="K815" i="148"/>
  <c r="L815" i="148" s="1"/>
  <c r="N815" i="148"/>
  <c r="O815" i="148" s="1"/>
  <c r="K834" i="148"/>
  <c r="L834" i="148" s="1"/>
  <c r="N834" i="148"/>
  <c r="O834" i="148" s="1"/>
  <c r="N803" i="148"/>
  <c r="O803" i="148" s="1"/>
  <c r="K803" i="148"/>
  <c r="L803" i="148" s="1"/>
  <c r="K805" i="148"/>
  <c r="L805" i="148" s="1"/>
  <c r="N805" i="148"/>
  <c r="O805" i="148" s="1"/>
  <c r="K790" i="148"/>
  <c r="L790" i="148" s="1"/>
  <c r="N790" i="148"/>
  <c r="O790" i="148" s="1"/>
  <c r="H744" i="148"/>
  <c r="K744" i="148" s="1"/>
  <c r="H848" i="148"/>
  <c r="K848" i="148" s="1"/>
  <c r="H59" i="148"/>
  <c r="K59" i="148" s="1"/>
  <c r="H847" i="148"/>
  <c r="K847" i="148" s="1"/>
  <c r="H743" i="148"/>
  <c r="K743" i="148" s="1"/>
  <c r="H358" i="148"/>
  <c r="K358" i="148" s="1"/>
  <c r="H902" i="148"/>
  <c r="K902" i="148" s="1"/>
  <c r="H804" i="148"/>
  <c r="K804" i="148" s="1"/>
  <c r="K835" i="148"/>
  <c r="L835" i="148" s="1"/>
  <c r="N835" i="148"/>
  <c r="O835" i="148" s="1"/>
  <c r="K800" i="148"/>
  <c r="L800" i="148" s="1"/>
  <c r="N800" i="148"/>
  <c r="O800" i="148" s="1"/>
  <c r="K820" i="148"/>
  <c r="L820" i="148" s="1"/>
  <c r="N820" i="148"/>
  <c r="O820" i="148" s="1"/>
  <c r="K779" i="148"/>
  <c r="L779" i="148" s="1"/>
  <c r="N779" i="148"/>
  <c r="O779" i="148" s="1"/>
  <c r="H686" i="148"/>
  <c r="K686" i="148" s="1"/>
  <c r="H930" i="148"/>
  <c r="K930" i="148" s="1"/>
  <c r="H832" i="148"/>
  <c r="K832" i="148" s="1"/>
  <c r="H746" i="148"/>
  <c r="K746" i="148" s="1"/>
  <c r="H850" i="148"/>
  <c r="K850" i="148" s="1"/>
  <c r="H722" i="148"/>
  <c r="N722" i="148" s="1"/>
  <c r="O722" i="148" s="1"/>
  <c r="H791" i="148"/>
  <c r="H748" i="148"/>
  <c r="K748" i="148" s="1"/>
  <c r="H852" i="148"/>
  <c r="K852" i="148" s="1"/>
  <c r="K783" i="148"/>
  <c r="L783" i="148" s="1"/>
  <c r="N783" i="148"/>
  <c r="O783" i="148" s="1"/>
  <c r="N836" i="148"/>
  <c r="O836" i="148" s="1"/>
  <c r="K836" i="148"/>
  <c r="L836" i="148" s="1"/>
  <c r="K819" i="148"/>
  <c r="L819" i="148" s="1"/>
  <c r="N819" i="148"/>
  <c r="O819" i="148" s="1"/>
  <c r="K789" i="148"/>
  <c r="L789" i="148" s="1"/>
  <c r="N789" i="148"/>
  <c r="O789" i="148" s="1"/>
  <c r="K822" i="148"/>
  <c r="L822" i="148" s="1"/>
  <c r="N822" i="148"/>
  <c r="O822" i="148" s="1"/>
  <c r="H849" i="148"/>
  <c r="K849" i="148" s="1"/>
  <c r="H745" i="148"/>
  <c r="K745" i="148" s="1"/>
  <c r="H213" i="148"/>
  <c r="K213" i="148" s="1"/>
  <c r="H813" i="148"/>
  <c r="K813" i="148" s="1"/>
  <c r="H911" i="148"/>
  <c r="K911" i="148" s="1"/>
  <c r="H723" i="148"/>
  <c r="K723" i="148" s="1"/>
  <c r="L723" i="148" s="1"/>
  <c r="H792" i="148"/>
  <c r="K798" i="148"/>
  <c r="L798" i="148" s="1"/>
  <c r="N798" i="148"/>
  <c r="O798" i="148" s="1"/>
  <c r="K817" i="148"/>
  <c r="L817" i="148" s="1"/>
  <c r="N817" i="148"/>
  <c r="O817" i="148" s="1"/>
  <c r="K802" i="148"/>
  <c r="L802" i="148" s="1"/>
  <c r="N802" i="148"/>
  <c r="O802" i="148" s="1"/>
  <c r="L794" i="148"/>
  <c r="K900" i="148"/>
  <c r="L900" i="148" s="1"/>
  <c r="N900" i="148"/>
  <c r="O900" i="148" s="1"/>
  <c r="H908" i="148"/>
  <c r="K908" i="148" s="1"/>
  <c r="H654" i="148"/>
  <c r="K654" i="148" s="1"/>
  <c r="K887" i="148"/>
  <c r="L887" i="148" s="1"/>
  <c r="N887" i="148"/>
  <c r="O887" i="148" s="1"/>
  <c r="K719" i="148"/>
  <c r="L719" i="148" s="1"/>
  <c r="N719" i="148"/>
  <c r="O719" i="148" s="1"/>
  <c r="K894" i="148"/>
  <c r="L894" i="148" s="1"/>
  <c r="N894" i="148"/>
  <c r="O894" i="148" s="1"/>
  <c r="K909" i="148"/>
  <c r="L909" i="148" s="1"/>
  <c r="N909" i="148"/>
  <c r="O909" i="148" s="1"/>
  <c r="H907" i="148"/>
  <c r="K907" i="148" s="1"/>
  <c r="H653" i="148"/>
  <c r="K653" i="148" s="1"/>
  <c r="K910" i="148"/>
  <c r="L910" i="148" s="1"/>
  <c r="N910" i="148"/>
  <c r="O910" i="148" s="1"/>
  <c r="K715" i="148"/>
  <c r="L715" i="148" s="1"/>
  <c r="N715" i="148"/>
  <c r="O715" i="148" s="1"/>
  <c r="N319" i="148"/>
  <c r="O319" i="148" s="1"/>
  <c r="K618" i="148"/>
  <c r="N127" i="148"/>
  <c r="O127" i="148" s="1"/>
  <c r="K601" i="148"/>
  <c r="L601" i="148" s="1"/>
  <c r="N601" i="148"/>
  <c r="O601" i="148" s="1"/>
  <c r="H329" i="148"/>
  <c r="K329" i="148" s="1"/>
  <c r="K331" i="148"/>
  <c r="N266" i="148"/>
  <c r="O266" i="148" s="1"/>
  <c r="L249" i="148"/>
  <c r="H274" i="148"/>
  <c r="H165" i="148"/>
  <c r="K165" i="148" s="1"/>
  <c r="L165" i="148" s="1"/>
  <c r="K273" i="148"/>
  <c r="L273" i="148" s="1"/>
  <c r="N273" i="148"/>
  <c r="O273" i="148" s="1"/>
  <c r="K272" i="148"/>
  <c r="L272" i="148" s="1"/>
  <c r="N272" i="148"/>
  <c r="O272" i="148" s="1"/>
  <c r="N276" i="148"/>
  <c r="O276" i="148" s="1"/>
  <c r="H162" i="148"/>
  <c r="K162" i="148" s="1"/>
  <c r="L162" i="148" s="1"/>
  <c r="H271" i="148"/>
  <c r="H275" i="148"/>
  <c r="H166" i="148"/>
  <c r="K166" i="148" s="1"/>
  <c r="L166" i="148" s="1"/>
  <c r="N279" i="148"/>
  <c r="O279" i="148" s="1"/>
  <c r="K279" i="148"/>
  <c r="L279" i="148" s="1"/>
  <c r="H328" i="148"/>
  <c r="H860" i="148"/>
  <c r="K860" i="148" s="1"/>
  <c r="H1107" i="14"/>
  <c r="H1106" i="14" s="1"/>
  <c r="H1109" i="14" s="1"/>
  <c r="H1121" i="14"/>
  <c r="H1120" i="14" s="1"/>
  <c r="H1123" i="14" s="1"/>
  <c r="H1582" i="14"/>
  <c r="H1550" i="14" s="1"/>
  <c r="F40" i="13" s="1"/>
  <c r="F142" i="151"/>
  <c r="D12" i="49"/>
  <c r="H281" i="14"/>
  <c r="H284" i="14" s="1"/>
  <c r="H285" i="14" s="1"/>
  <c r="H233" i="14"/>
  <c r="H236" i="14" s="1"/>
  <c r="H237" i="14" s="1"/>
  <c r="H715" i="14"/>
  <c r="H718" i="14" s="1"/>
  <c r="H719" i="14" s="1"/>
  <c r="H1374" i="14"/>
  <c r="H1377" i="14" s="1"/>
  <c r="H1378" i="14" s="1"/>
  <c r="H473" i="14"/>
  <c r="H476" i="14" s="1"/>
  <c r="H477" i="14" s="1"/>
  <c r="H1006" i="14"/>
  <c r="H1009" i="14" s="1"/>
  <c r="H1010" i="14" s="1"/>
  <c r="H690" i="14"/>
  <c r="H693" i="14" s="1"/>
  <c r="H694" i="14" s="1"/>
  <c r="H667" i="14"/>
  <c r="H670" i="14" s="1"/>
  <c r="H671" i="14" s="1"/>
  <c r="H1456" i="14"/>
  <c r="H1459" i="14" s="1"/>
  <c r="H1460" i="14" s="1"/>
  <c r="H1518" i="14"/>
  <c r="H1521" i="14" s="1"/>
  <c r="H1522" i="14" s="1"/>
  <c r="H521" i="14"/>
  <c r="H524" i="14" s="1"/>
  <c r="H525" i="14" s="1"/>
  <c r="H644" i="14"/>
  <c r="H647" i="14" s="1"/>
  <c r="H648" i="14" s="1"/>
  <c r="K528" i="148"/>
  <c r="L528" i="148" s="1"/>
  <c r="N528" i="148"/>
  <c r="O528" i="148" s="1"/>
  <c r="K385" i="148"/>
  <c r="L385" i="148" s="1"/>
  <c r="N385" i="148"/>
  <c r="O385" i="148" s="1"/>
  <c r="H374" i="148"/>
  <c r="K374" i="148" s="1"/>
  <c r="H383" i="148"/>
  <c r="K383" i="148" s="1"/>
  <c r="N298" i="148"/>
  <c r="O298" i="148" s="1"/>
  <c r="H257" i="14"/>
  <c r="H260" i="14" s="1"/>
  <c r="H261" i="14" s="1"/>
  <c r="H1277" i="14"/>
  <c r="H1280" i="14" s="1"/>
  <c r="H1281" i="14" s="1"/>
  <c r="H183" i="14"/>
  <c r="H186" i="14" s="1"/>
  <c r="H425" i="14"/>
  <c r="H428" i="14" s="1"/>
  <c r="H429" i="14" s="1"/>
  <c r="H765" i="14"/>
  <c r="H768" i="14" s="1"/>
  <c r="H769" i="14" s="1"/>
  <c r="H546" i="14"/>
  <c r="H549" i="14" s="1"/>
  <c r="H550" i="14" s="1"/>
  <c r="H811" i="14"/>
  <c r="H814" i="14" s="1"/>
  <c r="H815" i="14" s="1"/>
  <c r="H926" i="14"/>
  <c r="H898" i="14" s="1"/>
  <c r="H1544" i="14"/>
  <c r="H1547" i="14" s="1"/>
  <c r="H1548" i="14" s="1"/>
  <c r="H1034" i="14"/>
  <c r="H1037" i="14" s="1"/>
  <c r="H1176" i="14"/>
  <c r="H1179" i="14" s="1"/>
  <c r="H1180" i="14" s="1"/>
  <c r="H329" i="14"/>
  <c r="H332" i="14" s="1"/>
  <c r="H1352" i="14"/>
  <c r="H1355" i="14" s="1"/>
  <c r="H1356" i="14" s="1"/>
  <c r="H80" i="14"/>
  <c r="H78" i="14" s="1"/>
  <c r="H81" i="14" s="1"/>
  <c r="H82" i="14" s="1"/>
  <c r="H571" i="14"/>
  <c r="H574" i="14" s="1"/>
  <c r="H575" i="14" s="1"/>
  <c r="H1328" i="14"/>
  <c r="H1307" i="14" s="1"/>
  <c r="H1432" i="14"/>
  <c r="H1431" i="14" s="1"/>
  <c r="H1434" i="14" s="1"/>
  <c r="H1435" i="14" s="1"/>
  <c r="H790" i="14"/>
  <c r="H788" i="14" s="1"/>
  <c r="H791" i="14" s="1"/>
  <c r="H792" i="14" s="1"/>
  <c r="H106" i="14"/>
  <c r="H402" i="14"/>
  <c r="H401" i="14" s="1"/>
  <c r="H404" i="14" s="1"/>
  <c r="H405" i="14" s="1"/>
  <c r="H354" i="14"/>
  <c r="H353" i="14" s="1"/>
  <c r="H356" i="14" s="1"/>
  <c r="H357" i="14" s="1"/>
  <c r="H56" i="14"/>
  <c r="H58" i="14" s="1"/>
  <c r="H107" i="14"/>
  <c r="H448" i="14"/>
  <c r="H450" i="14" s="1"/>
  <c r="K415" i="148"/>
  <c r="L415" i="148" s="1"/>
  <c r="N415" i="148"/>
  <c r="O415" i="148" s="1"/>
  <c r="K414" i="148"/>
  <c r="L414" i="148" s="1"/>
  <c r="N414" i="148"/>
  <c r="O414" i="148" s="1"/>
  <c r="H1405" i="14"/>
  <c r="H1380" i="14" s="1"/>
  <c r="H284" i="148"/>
  <c r="K284" i="148" s="1"/>
  <c r="H327" i="148"/>
  <c r="K327" i="148" s="1"/>
  <c r="K282" i="148"/>
  <c r="L282" i="148" s="1"/>
  <c r="O282" i="148"/>
  <c r="H656" i="148"/>
  <c r="K656" i="148" s="1"/>
  <c r="K727" i="148"/>
  <c r="L727" i="148" s="1"/>
  <c r="N727" i="148"/>
  <c r="O727" i="148" s="1"/>
  <c r="K354" i="148"/>
  <c r="L354" i="148" s="1"/>
  <c r="N354" i="148"/>
  <c r="O354" i="148" s="1"/>
  <c r="K360" i="148"/>
  <c r="L360" i="148" s="1"/>
  <c r="N360" i="148"/>
  <c r="O360" i="148" s="1"/>
  <c r="D10" i="49"/>
  <c r="D6" i="49"/>
  <c r="D9" i="49"/>
  <c r="D5" i="49"/>
  <c r="D8" i="49"/>
  <c r="D11" i="49"/>
  <c r="D7" i="49"/>
  <c r="J19" i="49"/>
  <c r="J18" i="49"/>
  <c r="D18" i="49"/>
  <c r="F18" i="49" s="1"/>
  <c r="D19" i="49"/>
  <c r="F19" i="49" s="1"/>
  <c r="J11" i="49"/>
  <c r="J7" i="49"/>
  <c r="J10" i="49"/>
  <c r="J6" i="49"/>
  <c r="J9" i="49"/>
  <c r="J5" i="49"/>
  <c r="J8" i="49"/>
  <c r="G8" i="49"/>
  <c r="G11" i="49"/>
  <c r="G7" i="49"/>
  <c r="G10" i="49"/>
  <c r="G6" i="49"/>
  <c r="G9" i="49"/>
  <c r="G5" i="49"/>
  <c r="G18" i="49"/>
  <c r="G19" i="49"/>
  <c r="M11" i="49"/>
  <c r="M9" i="49"/>
  <c r="M7" i="49"/>
  <c r="M5" i="49"/>
  <c r="M10" i="49"/>
  <c r="M8" i="49"/>
  <c r="M6" i="49"/>
  <c r="M12" i="49"/>
  <c r="F141" i="151"/>
  <c r="F72" i="151"/>
  <c r="F339" i="148" s="1"/>
  <c r="F103" i="151"/>
  <c r="N325" i="148"/>
  <c r="O325" i="148" s="1"/>
  <c r="K325" i="148"/>
  <c r="L325" i="148" s="1"/>
  <c r="N169" i="148"/>
  <c r="O169" i="148" s="1"/>
  <c r="H136" i="148"/>
  <c r="K136" i="148" s="1"/>
  <c r="N460" i="148"/>
  <c r="O460" i="148" s="1"/>
  <c r="N631" i="148"/>
  <c r="O631" i="148" s="1"/>
  <c r="K632" i="148"/>
  <c r="L632" i="148" s="1"/>
  <c r="K594" i="148"/>
  <c r="L594" i="148" s="1"/>
  <c r="N594" i="148"/>
  <c r="O594" i="148" s="1"/>
  <c r="F100" i="151"/>
  <c r="N249" i="148"/>
  <c r="O249" i="148" s="1"/>
  <c r="K299" i="148"/>
  <c r="L299" i="148" s="1"/>
  <c r="K250" i="148"/>
  <c r="L250" i="148" s="1"/>
  <c r="N250" i="148"/>
  <c r="O250" i="148" s="1"/>
  <c r="N268" i="148"/>
  <c r="O268" i="148" s="1"/>
  <c r="N145" i="148"/>
  <c r="O145" i="148" s="1"/>
  <c r="H35" i="14"/>
  <c r="H38" i="14" s="1"/>
  <c r="H626" i="14"/>
  <c r="H602" i="14" s="1"/>
  <c r="H502" i="14"/>
  <c r="H479" i="14" s="1"/>
  <c r="K308" i="148"/>
  <c r="L308" i="148" s="1"/>
  <c r="N308" i="148"/>
  <c r="O308" i="148" s="1"/>
  <c r="F102" i="151"/>
  <c r="F70" i="151"/>
  <c r="F193" i="148" s="1"/>
  <c r="F139" i="151"/>
  <c r="N338" i="148"/>
  <c r="O338" i="148" s="1"/>
  <c r="H137" i="148"/>
  <c r="K137" i="148" s="1"/>
  <c r="K559" i="148"/>
  <c r="L559" i="148" s="1"/>
  <c r="K397" i="148"/>
  <c r="L397" i="148" s="1"/>
  <c r="N397" i="148"/>
  <c r="O397" i="148" s="1"/>
  <c r="N110" i="148"/>
  <c r="O110" i="148" s="1"/>
  <c r="K110" i="148"/>
  <c r="L110" i="148" s="1"/>
  <c r="F101" i="151"/>
  <c r="H51" i="148"/>
  <c r="K51" i="148" s="1"/>
  <c r="H290" i="148"/>
  <c r="K290" i="148" s="1"/>
  <c r="H509" i="148"/>
  <c r="K509" i="148" s="1"/>
  <c r="H626" i="148"/>
  <c r="K626" i="148" s="1"/>
  <c r="H302" i="148"/>
  <c r="K302" i="148" s="1"/>
  <c r="H291" i="148"/>
  <c r="K291" i="148" s="1"/>
  <c r="N264" i="148"/>
  <c r="O264" i="148" s="1"/>
  <c r="K897" i="148"/>
  <c r="L897" i="148" s="1"/>
  <c r="K600" i="148"/>
  <c r="L600" i="148" s="1"/>
  <c r="K223" i="148"/>
  <c r="L223" i="148" s="1"/>
  <c r="O551" i="148"/>
  <c r="N920" i="148"/>
  <c r="O920" i="148" s="1"/>
  <c r="K634" i="148"/>
  <c r="N253" i="148"/>
  <c r="O253" i="148" s="1"/>
  <c r="K253" i="148"/>
  <c r="L253" i="148" s="1"/>
  <c r="H545" i="148"/>
  <c r="K252" i="148"/>
  <c r="L252" i="148" s="1"/>
  <c r="K224" i="148"/>
  <c r="L224" i="148" s="1"/>
  <c r="K431" i="148"/>
  <c r="N430" i="148"/>
  <c r="O430" i="148" s="1"/>
  <c r="K368" i="148"/>
  <c r="N366" i="148"/>
  <c r="O366" i="148" s="1"/>
  <c r="K417" i="148"/>
  <c r="L417" i="148" s="1"/>
  <c r="N416" i="148"/>
  <c r="O416" i="148" s="1"/>
  <c r="K844" i="148"/>
  <c r="N843" i="148"/>
  <c r="O843" i="148" s="1"/>
  <c r="K604" i="148"/>
  <c r="N603" i="148"/>
  <c r="O603" i="148" s="1"/>
  <c r="N468" i="148"/>
  <c r="O468" i="148" s="1"/>
  <c r="K462" i="148"/>
  <c r="L462" i="148" s="1"/>
  <c r="N461" i="148"/>
  <c r="O461" i="148" s="1"/>
  <c r="K441" i="148"/>
  <c r="N440" i="148"/>
  <c r="O440" i="148" s="1"/>
  <c r="K488" i="148"/>
  <c r="N487" i="148"/>
  <c r="O487" i="148" s="1"/>
  <c r="N326" i="148"/>
  <c r="O326" i="148" s="1"/>
  <c r="N950" i="148"/>
  <c r="O950" i="148" s="1"/>
  <c r="K884" i="148"/>
  <c r="N882" i="148"/>
  <c r="O882" i="148" s="1"/>
  <c r="K870" i="148"/>
  <c r="N869" i="148"/>
  <c r="O869" i="148" s="1"/>
  <c r="K518" i="148"/>
  <c r="N517" i="148"/>
  <c r="O517" i="148" s="1"/>
  <c r="K527" i="148"/>
  <c r="L527" i="148" s="1"/>
  <c r="O526" i="148"/>
  <c r="N859" i="148"/>
  <c r="O859" i="148" s="1"/>
  <c r="K866" i="148"/>
  <c r="N865" i="148"/>
  <c r="O865" i="148" s="1"/>
  <c r="N332" i="148"/>
  <c r="O332" i="148" s="1"/>
  <c r="N370" i="148"/>
  <c r="O370" i="148" s="1"/>
  <c r="K471" i="148"/>
  <c r="N470" i="148"/>
  <c r="O470" i="148" s="1"/>
  <c r="N596" i="148"/>
  <c r="O596" i="148" s="1"/>
  <c r="N595" i="148"/>
  <c r="O595" i="148" s="1"/>
  <c r="N622" i="148"/>
  <c r="O622" i="148" s="1"/>
  <c r="N621" i="148"/>
  <c r="O621" i="148" s="1"/>
  <c r="K575" i="148"/>
  <c r="N574" i="148"/>
  <c r="O574" i="148" s="1"/>
  <c r="N267" i="148"/>
  <c r="O267" i="148" s="1"/>
  <c r="K267" i="148"/>
  <c r="L267" i="148" s="1"/>
  <c r="K297" i="148"/>
  <c r="L297" i="148" s="1"/>
  <c r="F69" i="151"/>
  <c r="F236" i="148" s="1"/>
  <c r="N236" i="148" s="1"/>
  <c r="O236" i="148" s="1"/>
  <c r="K205" i="148"/>
  <c r="L205" i="148" s="1"/>
  <c r="N205" i="148"/>
  <c r="O205" i="148" s="1"/>
  <c r="H207" i="148"/>
  <c r="K207" i="148" s="1"/>
  <c r="H566" i="148"/>
  <c r="H301" i="148"/>
  <c r="N300" i="148" s="1"/>
  <c r="O300" i="148" s="1"/>
  <c r="H561" i="148"/>
  <c r="K561" i="148" s="1"/>
  <c r="K622" i="148"/>
  <c r="L622" i="148" s="1"/>
  <c r="N304" i="148"/>
  <c r="O304" i="148" s="1"/>
  <c r="K40" i="148"/>
  <c r="L40" i="148" s="1"/>
  <c r="N40" i="148"/>
  <c r="O40" i="148" s="1"/>
  <c r="K88" i="148"/>
  <c r="L88" i="148" s="1"/>
  <c r="N88" i="148"/>
  <c r="O88" i="148" s="1"/>
  <c r="K10" i="148"/>
  <c r="L10" i="148" s="1"/>
  <c r="A10" i="148" s="1"/>
  <c r="A11" i="148" s="1"/>
  <c r="A12" i="148" s="1"/>
  <c r="A13" i="148" s="1"/>
  <c r="N10" i="148"/>
  <c r="O10" i="148" s="1"/>
  <c r="H28" i="148"/>
  <c r="K28" i="148" s="1"/>
  <c r="H91" i="148"/>
  <c r="K91" i="148" s="1"/>
  <c r="H123" i="148"/>
  <c r="K123" i="148" s="1"/>
  <c r="H665" i="148"/>
  <c r="K665" i="148" s="1"/>
  <c r="H464" i="148"/>
  <c r="K464" i="148" s="1"/>
  <c r="K495" i="148"/>
  <c r="L495" i="148" s="1"/>
  <c r="N495" i="148"/>
  <c r="O495" i="148" s="1"/>
  <c r="N462" i="148"/>
  <c r="O462" i="148" s="1"/>
  <c r="L486" i="148"/>
  <c r="N486" i="148"/>
  <c r="O486" i="148" s="1"/>
  <c r="K497" i="148"/>
  <c r="L497" i="148" s="1"/>
  <c r="N497" i="148"/>
  <c r="O497" i="148" s="1"/>
  <c r="H453" i="148"/>
  <c r="H587" i="148"/>
  <c r="K587" i="148" s="1"/>
  <c r="L587" i="148" s="1"/>
  <c r="K492" i="148"/>
  <c r="L492" i="148" s="1"/>
  <c r="N492" i="148"/>
  <c r="O492" i="148" s="1"/>
  <c r="K494" i="148"/>
  <c r="L494" i="148" s="1"/>
  <c r="N494" i="148"/>
  <c r="O494" i="148" s="1"/>
  <c r="L452" i="148"/>
  <c r="N452" i="148"/>
  <c r="O452" i="148" s="1"/>
  <c r="L484" i="148"/>
  <c r="N484" i="148"/>
  <c r="O484" i="148" s="1"/>
  <c r="K449" i="148"/>
  <c r="L449" i="148" s="1"/>
  <c r="N449" i="148"/>
  <c r="O449" i="148" s="1"/>
  <c r="L175" i="148"/>
  <c r="H119" i="148"/>
  <c r="H87" i="148"/>
  <c r="K87" i="148" s="1"/>
  <c r="L87" i="148" s="1"/>
  <c r="H122" i="148"/>
  <c r="K122" i="148" s="1"/>
  <c r="H90" i="148"/>
  <c r="K90" i="148" s="1"/>
  <c r="H118" i="148"/>
  <c r="K118" i="148" s="1"/>
  <c r="H86" i="148"/>
  <c r="K86" i="148" s="1"/>
  <c r="K120" i="148"/>
  <c r="L120" i="148" s="1"/>
  <c r="N120" i="148"/>
  <c r="O120" i="148" s="1"/>
  <c r="K309" i="148"/>
  <c r="L309" i="148" s="1"/>
  <c r="N309" i="148"/>
  <c r="O309" i="148" s="1"/>
  <c r="F71" i="151"/>
  <c r="N417" i="148"/>
  <c r="O417" i="148" s="1"/>
  <c r="H92" i="148"/>
  <c r="K92" i="148" s="1"/>
  <c r="F20" i="151"/>
  <c r="H20" i="148"/>
  <c r="K20" i="148" s="1"/>
  <c r="H53" i="148"/>
  <c r="K53" i="148" s="1"/>
  <c r="N587" i="148"/>
  <c r="O587" i="148" s="1"/>
  <c r="K638" i="148"/>
  <c r="L638" i="148" s="1"/>
  <c r="K543" i="148"/>
  <c r="L543" i="148" s="1"/>
  <c r="N543" i="148"/>
  <c r="O543" i="148" s="1"/>
  <c r="K140" i="148"/>
  <c r="L140" i="148" s="1"/>
  <c r="N140" i="148"/>
  <c r="O140" i="148" s="1"/>
  <c r="N418" i="148"/>
  <c r="O418" i="148" s="1"/>
  <c r="K418" i="148"/>
  <c r="L418" i="148" s="1"/>
  <c r="H60" i="148"/>
  <c r="K60" i="148" s="1"/>
  <c r="H29" i="148"/>
  <c r="K29" i="148" s="1"/>
  <c r="N637" i="148"/>
  <c r="O637" i="148" s="1"/>
  <c r="K637" i="148"/>
  <c r="L637" i="148" s="1"/>
  <c r="K307" i="148"/>
  <c r="L307" i="148" s="1"/>
  <c r="N307" i="148"/>
  <c r="O307" i="148" s="1"/>
  <c r="H663" i="148"/>
  <c r="K663" i="148" s="1"/>
  <c r="H641" i="148"/>
  <c r="K641" i="148" s="1"/>
  <c r="O527" i="148"/>
  <c r="H657" i="148"/>
  <c r="K657" i="148" s="1"/>
  <c r="H30" i="148"/>
  <c r="K30" i="148" s="1"/>
  <c r="H61" i="148"/>
  <c r="K61" i="148" s="1"/>
  <c r="K597" i="148"/>
  <c r="L597" i="148" s="1"/>
  <c r="N597" i="148"/>
  <c r="O597" i="148" s="1"/>
  <c r="H58" i="148"/>
  <c r="K58" i="148" s="1"/>
  <c r="H27" i="148"/>
  <c r="K27" i="148" s="1"/>
  <c r="H189" i="148"/>
  <c r="K189" i="148" s="1"/>
  <c r="H193" i="148"/>
  <c r="K193" i="148" s="1"/>
  <c r="H260" i="148"/>
  <c r="K260" i="148" s="1"/>
  <c r="H336" i="148"/>
  <c r="K336" i="148" s="1"/>
  <c r="L336" i="148" s="1"/>
  <c r="H26" i="148"/>
  <c r="K26" i="148" s="1"/>
  <c r="H661" i="148"/>
  <c r="K661" i="148" s="1"/>
  <c r="N956" i="148"/>
  <c r="O956" i="148" s="1"/>
  <c r="K956" i="148"/>
  <c r="L956" i="148" s="1"/>
  <c r="H662" i="148"/>
  <c r="K662" i="148" s="1"/>
  <c r="H337" i="148"/>
  <c r="K337" i="148" s="1"/>
  <c r="H215" i="148"/>
  <c r="K215" i="148" s="1"/>
  <c r="N252" i="148"/>
  <c r="O252" i="148" s="1"/>
  <c r="J1511" i="14"/>
  <c r="J1507" i="14"/>
  <c r="J1509" i="14"/>
  <c r="J1506" i="14"/>
  <c r="J1519" i="14"/>
  <c r="J497" i="14"/>
  <c r="J1352" i="14"/>
  <c r="J1350" i="14"/>
  <c r="J1332" i="14"/>
  <c r="J1349" i="14"/>
  <c r="J1355" i="14"/>
  <c r="J1348" i="14"/>
  <c r="J1345" i="14"/>
  <c r="J1336" i="14"/>
  <c r="J1333" i="14"/>
  <c r="J1342" i="14"/>
  <c r="J1339" i="14"/>
  <c r="J1334" i="14"/>
  <c r="J1347" i="14"/>
  <c r="J1331" i="14"/>
  <c r="J1356" i="14"/>
  <c r="J1340" i="14"/>
  <c r="J1353" i="14"/>
  <c r="J1337" i="14"/>
  <c r="J1344" i="14"/>
  <c r="J1357" i="14"/>
  <c r="J1341" i="14"/>
  <c r="J1354" i="14"/>
  <c r="J1346" i="14"/>
  <c r="J1338" i="14"/>
  <c r="J1330" i="14"/>
  <c r="J1351" i="14"/>
  <c r="J1343" i="14"/>
  <c r="J1446" i="14"/>
  <c r="J1452" i="14"/>
  <c r="J1495" i="14"/>
  <c r="J1492" i="14"/>
  <c r="J1491" i="14"/>
  <c r="J1488" i="14"/>
  <c r="J1501" i="14"/>
  <c r="J1514" i="14"/>
  <c r="J1498" i="14"/>
  <c r="J1520" i="14"/>
  <c r="H335" i="148"/>
  <c r="K335" i="148" s="1"/>
  <c r="L335" i="148" s="1"/>
  <c r="L198" i="148"/>
  <c r="N198" i="148"/>
  <c r="O198" i="148" s="1"/>
  <c r="L199" i="148"/>
  <c r="N199" i="148"/>
  <c r="O199" i="148" s="1"/>
  <c r="H191" i="148"/>
  <c r="K191" i="148" s="1"/>
  <c r="F19" i="151"/>
  <c r="J1457" i="14"/>
  <c r="J491" i="14"/>
  <c r="J1438" i="14"/>
  <c r="J484" i="14"/>
  <c r="J493" i="14"/>
  <c r="J1459" i="14"/>
  <c r="J502" i="14"/>
  <c r="J1442" i="14"/>
  <c r="J1441" i="14"/>
  <c r="J1447" i="14"/>
  <c r="J482" i="14"/>
  <c r="J494" i="14"/>
  <c r="J488" i="14"/>
  <c r="J1461" i="14"/>
  <c r="J1450" i="14"/>
  <c r="H639" i="148"/>
  <c r="K639" i="148" s="1"/>
  <c r="H664" i="148"/>
  <c r="K664" i="148" s="1"/>
  <c r="F34" i="151"/>
  <c r="N693" i="148"/>
  <c r="O693" i="148" s="1"/>
  <c r="K693" i="148"/>
  <c r="L693" i="148" s="1"/>
  <c r="N176" i="148"/>
  <c r="O176" i="148" s="1"/>
  <c r="L176" i="148"/>
  <c r="F39" i="151"/>
  <c r="N349" i="148"/>
  <c r="O349" i="148" s="1"/>
  <c r="L349" i="148"/>
  <c r="K226" i="148"/>
  <c r="L226" i="148" s="1"/>
  <c r="N226" i="148"/>
  <c r="O226" i="148" s="1"/>
  <c r="F151" i="151"/>
  <c r="F167" i="151"/>
  <c r="F158" i="151"/>
  <c r="K37" i="148"/>
  <c r="L37" i="148" s="1"/>
  <c r="O37" i="148"/>
  <c r="F99" i="151"/>
  <c r="F87" i="151"/>
  <c r="L179" i="148"/>
  <c r="N179" i="148"/>
  <c r="O179" i="148" s="1"/>
  <c r="N598" i="148"/>
  <c r="O598" i="148" s="1"/>
  <c r="K598" i="148"/>
  <c r="L598" i="148" s="1"/>
  <c r="F38" i="151"/>
  <c r="F145" i="151"/>
  <c r="F136" i="151"/>
  <c r="F133" i="151"/>
  <c r="F135" i="151"/>
  <c r="F132" i="151"/>
  <c r="F129" i="151"/>
  <c r="F134" i="151"/>
  <c r="F131" i="151"/>
  <c r="F128" i="151"/>
  <c r="F130" i="151"/>
  <c r="F127" i="151"/>
  <c r="F85" i="151"/>
  <c r="K932" i="148"/>
  <c r="L932" i="148" s="1"/>
  <c r="N932" i="148"/>
  <c r="O932" i="148" s="1"/>
  <c r="F40" i="151"/>
  <c r="F175" i="151"/>
  <c r="N933" i="148"/>
  <c r="O933" i="148" s="1"/>
  <c r="K933" i="148"/>
  <c r="L933" i="148" s="1"/>
  <c r="K898" i="148"/>
  <c r="L898" i="148" s="1"/>
  <c r="N898" i="148"/>
  <c r="O898" i="148" s="1"/>
  <c r="F37" i="151"/>
  <c r="K503" i="148"/>
  <c r="L503" i="148" s="1"/>
  <c r="N503" i="148"/>
  <c r="O503" i="148" s="1"/>
  <c r="K427" i="148"/>
  <c r="L427" i="148" s="1"/>
  <c r="N427" i="148"/>
  <c r="O427" i="148" s="1"/>
  <c r="K220" i="148"/>
  <c r="L220" i="148" s="1"/>
  <c r="N220" i="148"/>
  <c r="O220" i="148" s="1"/>
  <c r="F169" i="151"/>
  <c r="F160" i="151"/>
  <c r="F153" i="151"/>
  <c r="H640" i="148"/>
  <c r="K640" i="148" s="1"/>
  <c r="H149" i="148"/>
  <c r="K149" i="148" s="1"/>
  <c r="K227" i="148"/>
  <c r="L227" i="148" s="1"/>
  <c r="N227" i="148"/>
  <c r="O227" i="148" s="1"/>
  <c r="K942" i="148"/>
  <c r="L942" i="148" s="1"/>
  <c r="N942" i="148"/>
  <c r="O942" i="148" s="1"/>
  <c r="J1453" i="14"/>
  <c r="J1443" i="14"/>
  <c r="J500" i="14"/>
  <c r="J480" i="14"/>
  <c r="J481" i="14"/>
  <c r="K586" i="148"/>
  <c r="L586" i="148" s="1"/>
  <c r="N586" i="148"/>
  <c r="O586" i="148" s="1"/>
  <c r="K583" i="148"/>
  <c r="L583" i="148" s="1"/>
  <c r="N583" i="148"/>
  <c r="O583" i="148" s="1"/>
  <c r="K915" i="148"/>
  <c r="L915" i="148" s="1"/>
  <c r="N915" i="148"/>
  <c r="O915" i="148" s="1"/>
  <c r="N324" i="148"/>
  <c r="O324" i="148" s="1"/>
  <c r="N259" i="148"/>
  <c r="O259" i="148" s="1"/>
  <c r="L259" i="148"/>
  <c r="J1448" i="14"/>
  <c r="J1444" i="14"/>
  <c r="J1458" i="14"/>
  <c r="J1456" i="14"/>
  <c r="J1445" i="14"/>
  <c r="J1451" i="14"/>
  <c r="J1454" i="14"/>
  <c r="J1449" i="14"/>
  <c r="J1440" i="14"/>
  <c r="J1460" i="14"/>
  <c r="J1455" i="14"/>
  <c r="J1439" i="14"/>
  <c r="J768" i="14"/>
  <c r="J1204" i="14"/>
  <c r="J754" i="14"/>
  <c r="J1207" i="14"/>
  <c r="J210" i="14"/>
  <c r="J192" i="14"/>
  <c r="J213" i="14"/>
  <c r="J199" i="14"/>
  <c r="J200" i="14"/>
  <c r="J203" i="14"/>
  <c r="J198" i="14"/>
  <c r="J205" i="14"/>
  <c r="J214" i="14"/>
  <c r="J204" i="14"/>
  <c r="J202" i="14"/>
  <c r="J197" i="14"/>
  <c r="J207" i="14"/>
  <c r="J190" i="14"/>
  <c r="J206" i="14"/>
  <c r="J201" i="14"/>
  <c r="J196" i="14"/>
  <c r="J212" i="14"/>
  <c r="J211" i="14"/>
  <c r="J193" i="14"/>
  <c r="J208" i="14"/>
  <c r="J761" i="14"/>
  <c r="J1401" i="14"/>
  <c r="J1198" i="14"/>
  <c r="J1200" i="14"/>
  <c r="J1184" i="14"/>
  <c r="J759" i="14"/>
  <c r="J752" i="14"/>
  <c r="J770" i="14"/>
  <c r="J1384" i="14"/>
  <c r="J1394" i="14"/>
  <c r="J767" i="14"/>
  <c r="J751" i="14"/>
  <c r="J760" i="14"/>
  <c r="J769" i="14"/>
  <c r="J753" i="14"/>
  <c r="J762" i="14"/>
  <c r="J1391" i="14"/>
  <c r="J1404" i="14"/>
  <c r="J1385" i="14"/>
  <c r="J1197" i="14"/>
  <c r="J835" i="14"/>
  <c r="J1545" i="14"/>
  <c r="J191" i="14"/>
  <c r="J195" i="14"/>
  <c r="J209" i="14"/>
  <c r="J194" i="14"/>
  <c r="H927" i="14"/>
  <c r="H1486" i="14"/>
  <c r="J483" i="14"/>
  <c r="J501" i="14"/>
  <c r="J495" i="14"/>
  <c r="J485" i="14"/>
  <c r="J496" i="14"/>
  <c r="J487" i="14"/>
  <c r="J486" i="14"/>
  <c r="J498" i="14"/>
  <c r="J489" i="14"/>
  <c r="J492" i="14"/>
  <c r="J499" i="14"/>
  <c r="H1239" i="14"/>
  <c r="F42" i="13" s="1"/>
  <c r="G42" i="13" s="1"/>
  <c r="I42" i="13" s="1"/>
  <c r="H162" i="14"/>
  <c r="H310" i="14"/>
  <c r="H526" i="14"/>
  <c r="H1069" i="14"/>
  <c r="J1095" i="14"/>
  <c r="J1517" i="14"/>
  <c r="J1521" i="14"/>
  <c r="J1522" i="14"/>
  <c r="J1518" i="14"/>
  <c r="J1494" i="14"/>
  <c r="J1502" i="14"/>
  <c r="J1510" i="14"/>
  <c r="J1489" i="14"/>
  <c r="J1497" i="14"/>
  <c r="J1505" i="14"/>
  <c r="J1513" i="14"/>
  <c r="J1496" i="14"/>
  <c r="J1512" i="14"/>
  <c r="J1499" i="14"/>
  <c r="J1515" i="14"/>
  <c r="J1500" i="14"/>
  <c r="J1516" i="14"/>
  <c r="J1503" i="14"/>
  <c r="J1068" i="14"/>
  <c r="H1040" i="14"/>
  <c r="J179" i="14"/>
  <c r="H897" i="14"/>
  <c r="H868" i="14"/>
  <c r="J763" i="14"/>
  <c r="J755" i="14"/>
  <c r="J747" i="14"/>
  <c r="J764" i="14"/>
  <c r="J756" i="14"/>
  <c r="J748" i="14"/>
  <c r="J765" i="14"/>
  <c r="J757" i="14"/>
  <c r="J749" i="14"/>
  <c r="J766" i="14"/>
  <c r="J758" i="14"/>
  <c r="J1400" i="14"/>
  <c r="J1395" i="14"/>
  <c r="J1388" i="14"/>
  <c r="J1393" i="14"/>
  <c r="J1402" i="14"/>
  <c r="J1206" i="14"/>
  <c r="J1190" i="14"/>
  <c r="J1191" i="14"/>
  <c r="J1192" i="14"/>
  <c r="J1195" i="14"/>
  <c r="J1205" i="14"/>
  <c r="J1382" i="14"/>
  <c r="J1390" i="14"/>
  <c r="J1398" i="14"/>
  <c r="J1381" i="14"/>
  <c r="J1389" i="14"/>
  <c r="J1397" i="14"/>
  <c r="J1405" i="14"/>
  <c r="J1396" i="14"/>
  <c r="J1387" i="14"/>
  <c r="J1403" i="14"/>
  <c r="J1392" i="14"/>
  <c r="J1383" i="14"/>
  <c r="J1399" i="14"/>
  <c r="J1185" i="14"/>
  <c r="J1193" i="14"/>
  <c r="J1201" i="14"/>
  <c r="J1209" i="14"/>
  <c r="J1187" i="14"/>
  <c r="J1203" i="14"/>
  <c r="J1188" i="14"/>
  <c r="J1196" i="14"/>
  <c r="J1183" i="14"/>
  <c r="J1199" i="14"/>
  <c r="J1186" i="14"/>
  <c r="J1194" i="14"/>
  <c r="J1202" i="14"/>
  <c r="J1208" i="14"/>
  <c r="J827" i="14"/>
  <c r="J367" i="14"/>
  <c r="J1153" i="14"/>
  <c r="H1126" i="14"/>
  <c r="J798" i="14"/>
  <c r="J411" i="14"/>
  <c r="J1291" i="14"/>
  <c r="J1312" i="14"/>
  <c r="J832" i="14"/>
  <c r="J823" i="14"/>
  <c r="J837" i="14"/>
  <c r="J103" i="14"/>
  <c r="I12" i="49"/>
  <c r="J1223" i="14"/>
  <c r="J1238" i="14"/>
  <c r="J1227" i="14"/>
  <c r="J1212" i="14"/>
  <c r="J1230" i="14"/>
  <c r="J1226" i="14"/>
  <c r="J1228" i="14"/>
  <c r="J1225" i="14"/>
  <c r="J1214" i="14"/>
  <c r="J1211" i="14"/>
  <c r="J1236" i="14"/>
  <c r="J1220" i="14"/>
  <c r="J1233" i="14"/>
  <c r="J1217" i="14"/>
  <c r="J1222" i="14"/>
  <c r="J1235" i="14"/>
  <c r="J1219" i="14"/>
  <c r="J1234" i="14"/>
  <c r="J1218" i="14"/>
  <c r="J1231" i="14"/>
  <c r="J1215" i="14"/>
  <c r="J1232" i="14"/>
  <c r="J1224" i="14"/>
  <c r="J1216" i="14"/>
  <c r="J1237" i="14"/>
  <c r="J1229" i="14"/>
  <c r="J1221" i="14"/>
  <c r="H1209" i="14" l="1"/>
  <c r="H1182" i="14" s="1"/>
  <c r="H136" i="14"/>
  <c r="H111" i="14" s="1"/>
  <c r="K722" i="148"/>
  <c r="L722" i="148" s="1"/>
  <c r="H745" i="14"/>
  <c r="H1379" i="14"/>
  <c r="H1238" i="14"/>
  <c r="H1210" i="14" s="1"/>
  <c r="H672" i="14"/>
  <c r="H650" i="14" s="1"/>
  <c r="H1306" i="14"/>
  <c r="H1283" i="14" s="1"/>
  <c r="H695" i="14"/>
  <c r="H673" i="14" s="1"/>
  <c r="N793" i="148"/>
  <c r="O793" i="148" s="1"/>
  <c r="N162" i="148"/>
  <c r="O162" i="148" s="1"/>
  <c r="K551" i="148"/>
  <c r="L551" i="148" s="1"/>
  <c r="K301" i="148"/>
  <c r="H213" i="14"/>
  <c r="H214" i="14" s="1"/>
  <c r="H189" i="14" s="1"/>
  <c r="H1461" i="14"/>
  <c r="H1437" i="14" s="1"/>
  <c r="H381" i="14"/>
  <c r="H382" i="14" s="1"/>
  <c r="H359" i="14" s="1"/>
  <c r="G40" i="13"/>
  <c r="I40" i="13" s="1"/>
  <c r="J1550" i="14" s="1"/>
  <c r="J1579" i="14" s="1"/>
  <c r="H238" i="14"/>
  <c r="H215" i="14" s="1"/>
  <c r="H1523" i="14"/>
  <c r="H1487" i="14" s="1"/>
  <c r="H1549" i="14"/>
  <c r="H1524" i="14" s="1"/>
  <c r="H1011" i="14"/>
  <c r="H984" i="14" s="1"/>
  <c r="F34" i="13" s="1"/>
  <c r="G34" i="13" s="1"/>
  <c r="F333" i="148"/>
  <c r="I333" i="148" s="1"/>
  <c r="F733" i="148"/>
  <c r="N723" i="148"/>
  <c r="O723" i="148" s="1"/>
  <c r="K792" i="148"/>
  <c r="L792" i="148" s="1"/>
  <c r="N792" i="148"/>
  <c r="O792" i="148" s="1"/>
  <c r="K791" i="148"/>
  <c r="N791" i="148"/>
  <c r="O791" i="148" s="1"/>
  <c r="F757" i="148"/>
  <c r="F861" i="148"/>
  <c r="F764" i="148"/>
  <c r="F868" i="148"/>
  <c r="F831" i="148"/>
  <c r="F929" i="148"/>
  <c r="F213" i="148"/>
  <c r="F813" i="148"/>
  <c r="F911" i="148"/>
  <c r="F752" i="148"/>
  <c r="F856" i="148"/>
  <c r="I856" i="148" s="1"/>
  <c r="L856" i="148" s="1"/>
  <c r="N165" i="148"/>
  <c r="O165" i="148" s="1"/>
  <c r="N166" i="148"/>
  <c r="O166" i="148" s="1"/>
  <c r="K387" i="148"/>
  <c r="I9" i="26" s="1"/>
  <c r="N339" i="148"/>
  <c r="O339" i="148" s="1"/>
  <c r="I339" i="148"/>
  <c r="L339" i="148" s="1"/>
  <c r="K275" i="148"/>
  <c r="L275" i="148" s="1"/>
  <c r="N275" i="148"/>
  <c r="O275" i="148" s="1"/>
  <c r="K274" i="148"/>
  <c r="L274" i="148" s="1"/>
  <c r="N274" i="148"/>
  <c r="O274" i="148" s="1"/>
  <c r="K271" i="148"/>
  <c r="L271" i="148" s="1"/>
  <c r="N271" i="148"/>
  <c r="O271" i="148" s="1"/>
  <c r="K328" i="148"/>
  <c r="H1110" i="14"/>
  <c r="H1111" i="14" s="1"/>
  <c r="H1098" i="14" s="1"/>
  <c r="H333" i="14"/>
  <c r="H334" i="14" s="1"/>
  <c r="H311" i="14" s="1"/>
  <c r="H1038" i="14"/>
  <c r="H1039" i="14" s="1"/>
  <c r="H1012" i="14" s="1"/>
  <c r="F35" i="13" s="1"/>
  <c r="G35" i="13" s="1"/>
  <c r="I35" i="13" s="1"/>
  <c r="J1012" i="14" s="1"/>
  <c r="H187" i="14"/>
  <c r="H188" i="14" s="1"/>
  <c r="H163" i="14" s="1"/>
  <c r="H1124" i="14"/>
  <c r="H1125" i="14" s="1"/>
  <c r="H1112" i="14" s="1"/>
  <c r="H478" i="14"/>
  <c r="H455" i="14" s="1"/>
  <c r="H286" i="14"/>
  <c r="H263" i="14" s="1"/>
  <c r="H816" i="14"/>
  <c r="H794" i="14" s="1"/>
  <c r="H1357" i="14"/>
  <c r="H1329" i="14" s="1"/>
  <c r="H720" i="14"/>
  <c r="H696" i="14" s="1"/>
  <c r="F16" i="13" s="1"/>
  <c r="G16" i="13" s="1"/>
  <c r="I16" i="13" s="1"/>
  <c r="J696" i="14" s="1"/>
  <c r="H1604" i="14"/>
  <c r="H1602" i="14" s="1"/>
  <c r="H1605" i="14" s="1"/>
  <c r="F143" i="151"/>
  <c r="F20" i="148"/>
  <c r="N20" i="148" s="1"/>
  <c r="F188" i="148"/>
  <c r="I188" i="148" s="1"/>
  <c r="L188" i="148" s="1"/>
  <c r="H793" i="14"/>
  <c r="H771" i="14" s="1"/>
  <c r="F18" i="13" s="1"/>
  <c r="G18" i="13" s="1"/>
  <c r="I18" i="13" s="1"/>
  <c r="J771" i="14" s="1"/>
  <c r="J783" i="14" s="1"/>
  <c r="H105" i="14"/>
  <c r="H108" i="14" s="1"/>
  <c r="H109" i="14" s="1"/>
  <c r="H551" i="14"/>
  <c r="H527" i="14" s="1"/>
  <c r="F288" i="148"/>
  <c r="F287" i="148"/>
  <c r="F361" i="148"/>
  <c r="N361" i="148" s="1"/>
  <c r="O361" i="148" s="1"/>
  <c r="F380" i="148"/>
  <c r="F371" i="148"/>
  <c r="I371" i="148" s="1"/>
  <c r="H430" i="14"/>
  <c r="H407" i="14" s="1"/>
  <c r="H1282" i="14"/>
  <c r="H1261" i="14" s="1"/>
  <c r="F43" i="13" s="1"/>
  <c r="G43" i="13" s="1"/>
  <c r="H770" i="14"/>
  <c r="H746" i="14" s="1"/>
  <c r="H576" i="14"/>
  <c r="H552" i="14" s="1"/>
  <c r="H1181" i="14"/>
  <c r="H1154" i="14" s="1"/>
  <c r="H451" i="14"/>
  <c r="H449" i="14" s="1"/>
  <c r="H452" i="14" s="1"/>
  <c r="H453" i="14" s="1"/>
  <c r="H37" i="14"/>
  <c r="H36" i="14" s="1"/>
  <c r="H39" i="14" s="1"/>
  <c r="H40" i="14" s="1"/>
  <c r="H83" i="14"/>
  <c r="H63" i="14" s="1"/>
  <c r="J74" i="14" s="1"/>
  <c r="H59" i="14"/>
  <c r="H57" i="14" s="1"/>
  <c r="H60" i="14" s="1"/>
  <c r="H61" i="14" s="1"/>
  <c r="F96" i="151"/>
  <c r="F296" i="148" s="1"/>
  <c r="F97" i="151"/>
  <c r="F294" i="148" s="1"/>
  <c r="I294" i="148" s="1"/>
  <c r="L294" i="148" s="1"/>
  <c r="F189" i="148"/>
  <c r="I189" i="148" s="1"/>
  <c r="L189" i="148" s="1"/>
  <c r="F192" i="148"/>
  <c r="N192" i="148" s="1"/>
  <c r="O192" i="148" s="1"/>
  <c r="F675" i="148"/>
  <c r="F676" i="148"/>
  <c r="I676" i="148" s="1"/>
  <c r="F337" i="148"/>
  <c r="I337" i="148" s="1"/>
  <c r="L337" i="148" s="1"/>
  <c r="I19" i="49"/>
  <c r="P19" i="49" s="1"/>
  <c r="Q19" i="49"/>
  <c r="Q18" i="49"/>
  <c r="I18" i="49"/>
  <c r="P18" i="49" s="1"/>
  <c r="O8" i="49"/>
  <c r="Q8" i="49"/>
  <c r="F155" i="151" s="1"/>
  <c r="O5" i="49"/>
  <c r="Q5" i="49"/>
  <c r="O9" i="49"/>
  <c r="Q9" i="49"/>
  <c r="F156" i="151" s="1"/>
  <c r="O12" i="49"/>
  <c r="Q12" i="49"/>
  <c r="F165" i="151" s="1"/>
  <c r="O6" i="49"/>
  <c r="Q6" i="49"/>
  <c r="O10" i="49"/>
  <c r="Q10" i="49"/>
  <c r="F161" i="151" s="1"/>
  <c r="O7" i="49"/>
  <c r="Q7" i="49"/>
  <c r="F30" i="151" s="1"/>
  <c r="O11" i="49"/>
  <c r="Q11" i="49"/>
  <c r="F191" i="148"/>
  <c r="I191" i="148" s="1"/>
  <c r="L191" i="148" s="1"/>
  <c r="H262" i="14"/>
  <c r="H239" i="14" s="1"/>
  <c r="H358" i="14"/>
  <c r="H335" i="14" s="1"/>
  <c r="F23" i="13" s="1"/>
  <c r="G23" i="13" s="1"/>
  <c r="H1436" i="14"/>
  <c r="H1406" i="14" s="1"/>
  <c r="F37" i="13" s="1"/>
  <c r="G37" i="13" s="1"/>
  <c r="H406" i="14"/>
  <c r="H383" i="14" s="1"/>
  <c r="H649" i="14"/>
  <c r="H627" i="14" s="1"/>
  <c r="J1239" i="14"/>
  <c r="J1241" i="14" s="1"/>
  <c r="K545" i="148"/>
  <c r="L545" i="148" s="1"/>
  <c r="F625" i="148"/>
  <c r="F508" i="148"/>
  <c r="N545" i="148"/>
  <c r="O545" i="148" s="1"/>
  <c r="K544" i="148"/>
  <c r="L544" i="148" s="1"/>
  <c r="N544" i="148"/>
  <c r="O544" i="148" s="1"/>
  <c r="N346" i="148"/>
  <c r="O346" i="148" s="1"/>
  <c r="N638" i="148"/>
  <c r="O638" i="148" s="1"/>
  <c r="K566" i="148"/>
  <c r="K558" i="148" s="1"/>
  <c r="N565" i="148"/>
  <c r="O565" i="148" s="1"/>
  <c r="F196" i="148"/>
  <c r="F174" i="148"/>
  <c r="I174" i="148" s="1"/>
  <c r="L174" i="148" s="1"/>
  <c r="F564" i="148"/>
  <c r="I564" i="148" s="1"/>
  <c r="L564" i="148" s="1"/>
  <c r="I236" i="148"/>
  <c r="L236" i="148" s="1"/>
  <c r="F233" i="148"/>
  <c r="N87" i="148"/>
  <c r="O87" i="148" s="1"/>
  <c r="K7" i="148"/>
  <c r="E9" i="227" s="1"/>
  <c r="K453" i="148"/>
  <c r="L453" i="148" s="1"/>
  <c r="N453" i="148"/>
  <c r="O453" i="148" s="1"/>
  <c r="F383" i="148"/>
  <c r="K119" i="148"/>
  <c r="L119" i="148" s="1"/>
  <c r="N119" i="148"/>
  <c r="O119" i="148" s="1"/>
  <c r="F124" i="148"/>
  <c r="I124" i="148" s="1"/>
  <c r="F30" i="148"/>
  <c r="F61" i="148"/>
  <c r="N260" i="148"/>
  <c r="O260" i="148" s="1"/>
  <c r="L260" i="148"/>
  <c r="K649" i="148"/>
  <c r="P9" i="26" s="1"/>
  <c r="F340" i="148"/>
  <c r="I340" i="148" s="1"/>
  <c r="N336" i="148"/>
  <c r="O336" i="148" s="1"/>
  <c r="J830" i="14"/>
  <c r="J839" i="14"/>
  <c r="J819" i="14"/>
  <c r="J844" i="14"/>
  <c r="J818" i="14"/>
  <c r="J836" i="14"/>
  <c r="J826" i="14"/>
  <c r="J1531" i="14"/>
  <c r="J867" i="14"/>
  <c r="J1527" i="14"/>
  <c r="F20" i="13"/>
  <c r="G20" i="13" s="1"/>
  <c r="I20" i="13" s="1"/>
  <c r="F24" i="13"/>
  <c r="G24" i="13" s="1"/>
  <c r="I24" i="13" s="1"/>
  <c r="J363" i="14"/>
  <c r="J829" i="14"/>
  <c r="J822" i="14"/>
  <c r="J838" i="14"/>
  <c r="J831" i="14"/>
  <c r="J824" i="14"/>
  <c r="J825" i="14"/>
  <c r="J834" i="14"/>
  <c r="J820" i="14"/>
  <c r="J833" i="14"/>
  <c r="J828" i="14"/>
  <c r="J1045" i="14"/>
  <c r="J1537" i="14"/>
  <c r="J1530" i="14"/>
  <c r="N335" i="148"/>
  <c r="O335" i="148" s="1"/>
  <c r="J1151" i="14"/>
  <c r="J1135" i="14"/>
  <c r="J1134" i="14"/>
  <c r="J1142" i="14"/>
  <c r="J378" i="14"/>
  <c r="J1047" i="14"/>
  <c r="J1145" i="14"/>
  <c r="J1132" i="14"/>
  <c r="J1150" i="14"/>
  <c r="J1067" i="14"/>
  <c r="J1129" i="14"/>
  <c r="J1140" i="14"/>
  <c r="J1143" i="14"/>
  <c r="J1148" i="14"/>
  <c r="J1064" i="14"/>
  <c r="J1061" i="14"/>
  <c r="J380" i="14"/>
  <c r="J821" i="14"/>
  <c r="J382" i="14"/>
  <c r="J372" i="14"/>
  <c r="J373" i="14"/>
  <c r="J364" i="14"/>
  <c r="J389" i="14"/>
  <c r="H1358" i="14"/>
  <c r="F36" i="13" s="1"/>
  <c r="G36" i="13" s="1"/>
  <c r="N193" i="148"/>
  <c r="O193" i="148" s="1"/>
  <c r="I193" i="148"/>
  <c r="L193" i="148" s="1"/>
  <c r="F154" i="148"/>
  <c r="I154" i="148" s="1"/>
  <c r="J362" i="14"/>
  <c r="J371" i="14"/>
  <c r="J1050" i="14"/>
  <c r="J1048" i="14"/>
  <c r="F810" i="148"/>
  <c r="F80" i="148"/>
  <c r="F402" i="148"/>
  <c r="K573" i="148"/>
  <c r="F656" i="148"/>
  <c r="F133" i="148"/>
  <c r="I133" i="148" s="1"/>
  <c r="F70" i="148"/>
  <c r="L6" i="26"/>
  <c r="K937" i="148"/>
  <c r="F18" i="151"/>
  <c r="F18" i="148"/>
  <c r="N18" i="148" s="1"/>
  <c r="F81" i="148"/>
  <c r="F26" i="148"/>
  <c r="N26" i="148" s="1"/>
  <c r="F655" i="148"/>
  <c r="K839" i="148"/>
  <c r="H137" i="14"/>
  <c r="F19" i="13" s="1"/>
  <c r="G19" i="13" s="1"/>
  <c r="F27" i="13"/>
  <c r="G27" i="13" s="1"/>
  <c r="I27" i="13" s="1"/>
  <c r="J508" i="14"/>
  <c r="H503" i="14"/>
  <c r="J1141" i="14"/>
  <c r="J1127" i="14"/>
  <c r="J171" i="14"/>
  <c r="J165" i="14"/>
  <c r="J1093" i="14"/>
  <c r="J366" i="14"/>
  <c r="J369" i="14"/>
  <c r="J379" i="14"/>
  <c r="J172" i="14"/>
  <c r="J1090" i="14"/>
  <c r="J1076" i="14"/>
  <c r="J1547" i="14"/>
  <c r="J1536" i="14"/>
  <c r="J1534" i="14"/>
  <c r="J1532" i="14"/>
  <c r="J1540" i="14"/>
  <c r="J183" i="14"/>
  <c r="J181" i="14"/>
  <c r="J188" i="14"/>
  <c r="J1074" i="14"/>
  <c r="J1077" i="14"/>
  <c r="J1096" i="14"/>
  <c r="J1079" i="14"/>
  <c r="J1525" i="14"/>
  <c r="J1526" i="14"/>
  <c r="J1549" i="14"/>
  <c r="J1533" i="14"/>
  <c r="J167" i="14"/>
  <c r="J174" i="14"/>
  <c r="J173" i="14"/>
  <c r="J164" i="14"/>
  <c r="J180" i="14"/>
  <c r="J1082" i="14"/>
  <c r="J1085" i="14"/>
  <c r="J1080" i="14"/>
  <c r="J1083" i="14"/>
  <c r="J1092" i="14"/>
  <c r="J1529" i="14"/>
  <c r="J1539" i="14"/>
  <c r="J1528" i="14"/>
  <c r="J1544" i="14"/>
  <c r="J1546" i="14"/>
  <c r="J178" i="14"/>
  <c r="J1541" i="14"/>
  <c r="J1535" i="14"/>
  <c r="J1548" i="14"/>
  <c r="J1543" i="14"/>
  <c r="J1542" i="14"/>
  <c r="J1538" i="14"/>
  <c r="J187" i="14"/>
  <c r="J186" i="14"/>
  <c r="J170" i="14"/>
  <c r="J1066" i="14"/>
  <c r="J1063" i="14"/>
  <c r="J1054" i="14"/>
  <c r="J1051" i="14"/>
  <c r="J1056" i="14"/>
  <c r="J1053" i="14"/>
  <c r="H1462" i="14"/>
  <c r="F39" i="13" s="1"/>
  <c r="G39" i="13" s="1"/>
  <c r="J725" i="14"/>
  <c r="H721" i="14"/>
  <c r="H840" i="14"/>
  <c r="J1049" i="14"/>
  <c r="J1065" i="14"/>
  <c r="J1052" i="14"/>
  <c r="J1043" i="14"/>
  <c r="J1046" i="14"/>
  <c r="J1055" i="14"/>
  <c r="J1058" i="14"/>
  <c r="J1057" i="14"/>
  <c r="J1062" i="14"/>
  <c r="J1041" i="14"/>
  <c r="J1044" i="14"/>
  <c r="J1060" i="14"/>
  <c r="J1059" i="14"/>
  <c r="J1042" i="14"/>
  <c r="H869" i="14"/>
  <c r="F33" i="13" s="1"/>
  <c r="G33" i="13" s="1"/>
  <c r="J166" i="14"/>
  <c r="J169" i="14"/>
  <c r="J185" i="14"/>
  <c r="J176" i="14"/>
  <c r="J175" i="14"/>
  <c r="J177" i="14"/>
  <c r="J184" i="14"/>
  <c r="J182" i="14"/>
  <c r="J168" i="14"/>
  <c r="J1097" i="14"/>
  <c r="J1070" i="14"/>
  <c r="J1086" i="14"/>
  <c r="J1073" i="14"/>
  <c r="J1089" i="14"/>
  <c r="J1088" i="14"/>
  <c r="J1091" i="14"/>
  <c r="J1071" i="14"/>
  <c r="J1094" i="14"/>
  <c r="J1072" i="14"/>
  <c r="J1075" i="14"/>
  <c r="J1087" i="14"/>
  <c r="J1078" i="14"/>
  <c r="J1081" i="14"/>
  <c r="J1084" i="14"/>
  <c r="H287" i="14"/>
  <c r="J1137" i="14"/>
  <c r="J1149" i="14"/>
  <c r="J1133" i="14"/>
  <c r="J1147" i="14"/>
  <c r="J1139" i="14"/>
  <c r="J1131" i="14"/>
  <c r="J1128" i="14"/>
  <c r="J1136" i="14"/>
  <c r="J1144" i="14"/>
  <c r="J1152" i="14"/>
  <c r="J1130" i="14"/>
  <c r="J1138" i="14"/>
  <c r="J1146" i="14"/>
  <c r="J374" i="14"/>
  <c r="J381" i="14"/>
  <c r="J365" i="14"/>
  <c r="J370" i="14"/>
  <c r="J377" i="14"/>
  <c r="J361" i="14"/>
  <c r="J376" i="14"/>
  <c r="J368" i="14"/>
  <c r="J360" i="14"/>
  <c r="J375" i="14"/>
  <c r="J803" i="14"/>
  <c r="J812" i="14"/>
  <c r="J425" i="14"/>
  <c r="J423" i="14"/>
  <c r="J413" i="14"/>
  <c r="J805" i="14"/>
  <c r="J796" i="14"/>
  <c r="J810" i="14"/>
  <c r="J422" i="14"/>
  <c r="J416" i="14"/>
  <c r="J463" i="14"/>
  <c r="J813" i="14"/>
  <c r="J797" i="14"/>
  <c r="J804" i="14"/>
  <c r="J811" i="14"/>
  <c r="J795" i="14"/>
  <c r="J802" i="14"/>
  <c r="J418" i="14"/>
  <c r="J409" i="14"/>
  <c r="J429" i="14"/>
  <c r="J424" i="14"/>
  <c r="J408" i="14"/>
  <c r="J415" i="14"/>
  <c r="J386" i="14"/>
  <c r="J109" i="14"/>
  <c r="J76" i="14"/>
  <c r="J404" i="14"/>
  <c r="J1301" i="14"/>
  <c r="J85" i="14"/>
  <c r="J82" i="14"/>
  <c r="J384" i="14"/>
  <c r="J1296" i="14"/>
  <c r="J1286" i="14"/>
  <c r="J96" i="14"/>
  <c r="J110" i="14"/>
  <c r="J1328" i="14"/>
  <c r="J73" i="14"/>
  <c r="J79" i="14"/>
  <c r="J66" i="14"/>
  <c r="J395" i="14"/>
  <c r="J393" i="14"/>
  <c r="J1289" i="14"/>
  <c r="J1302" i="14"/>
  <c r="J1295" i="14"/>
  <c r="J98" i="14"/>
  <c r="J100" i="14"/>
  <c r="J99" i="14"/>
  <c r="J1310" i="14"/>
  <c r="J1317" i="14"/>
  <c r="J81" i="14"/>
  <c r="J65" i="14"/>
  <c r="J68" i="14"/>
  <c r="J71" i="14"/>
  <c r="J45" i="14"/>
  <c r="J48" i="14"/>
  <c r="J113" i="14"/>
  <c r="J121" i="14"/>
  <c r="J128" i="14"/>
  <c r="J136" i="14"/>
  <c r="J118" i="14"/>
  <c r="J133" i="14"/>
  <c r="J119" i="14"/>
  <c r="J126" i="14"/>
  <c r="J134" i="14"/>
  <c r="J116" i="14"/>
  <c r="J124" i="14"/>
  <c r="J131" i="14"/>
  <c r="J117" i="14"/>
  <c r="J125" i="14"/>
  <c r="J132" i="14"/>
  <c r="J122" i="14"/>
  <c r="J129" i="14"/>
  <c r="J115" i="14"/>
  <c r="J123" i="14"/>
  <c r="J112" i="14"/>
  <c r="J120" i="14"/>
  <c r="J135" i="14"/>
  <c r="J114" i="14"/>
  <c r="J130" i="14"/>
  <c r="J127" i="14"/>
  <c r="J400" i="14"/>
  <c r="J394" i="14"/>
  <c r="J385" i="14"/>
  <c r="J1305" i="14"/>
  <c r="J1292" i="14"/>
  <c r="J1285" i="14"/>
  <c r="J1294" i="14"/>
  <c r="J1303" i="14"/>
  <c r="J1287" i="14"/>
  <c r="J88" i="14"/>
  <c r="J90" i="14"/>
  <c r="J93" i="14"/>
  <c r="J106" i="14"/>
  <c r="J91" i="14"/>
  <c r="J105" i="14"/>
  <c r="J1326" i="14"/>
  <c r="J1314" i="14"/>
  <c r="J504" i="14"/>
  <c r="J53" i="14"/>
  <c r="J57" i="14"/>
  <c r="J56" i="14"/>
  <c r="J1313" i="14"/>
  <c r="J1309" i="14"/>
  <c r="J1325" i="14"/>
  <c r="J1320" i="14"/>
  <c r="J1319" i="14"/>
  <c r="J1315" i="14"/>
  <c r="J83" i="14"/>
  <c r="J70" i="14"/>
  <c r="J78" i="14"/>
  <c r="J67" i="14"/>
  <c r="J75" i="14"/>
  <c r="J64" i="14"/>
  <c r="J72" i="14"/>
  <c r="J80" i="14"/>
  <c r="J69" i="14"/>
  <c r="J77" i="14"/>
  <c r="J809" i="14"/>
  <c r="J801" i="14"/>
  <c r="J816" i="14"/>
  <c r="J808" i="14"/>
  <c r="J800" i="14"/>
  <c r="J815" i="14"/>
  <c r="J807" i="14"/>
  <c r="J799" i="14"/>
  <c r="J814" i="14"/>
  <c r="J806" i="14"/>
  <c r="J426" i="14"/>
  <c r="J410" i="14"/>
  <c r="J417" i="14"/>
  <c r="J430" i="14"/>
  <c r="J414" i="14"/>
  <c r="J421" i="14"/>
  <c r="J428" i="14"/>
  <c r="J420" i="14"/>
  <c r="J412" i="14"/>
  <c r="J427" i="14"/>
  <c r="J419" i="14"/>
  <c r="J62" i="14"/>
  <c r="J61" i="14"/>
  <c r="J58" i="14"/>
  <c r="J44" i="14"/>
  <c r="J50" i="14"/>
  <c r="J43" i="14"/>
  <c r="J55" i="14"/>
  <c r="J51" i="14"/>
  <c r="J46" i="14"/>
  <c r="J49" i="14"/>
  <c r="J396" i="14"/>
  <c r="J387" i="14"/>
  <c r="J399" i="14"/>
  <c r="J398" i="14"/>
  <c r="J405" i="14"/>
  <c r="J1304" i="14"/>
  <c r="J1288" i="14"/>
  <c r="J1297" i="14"/>
  <c r="J1300" i="14"/>
  <c r="J1284" i="14"/>
  <c r="J1293" i="14"/>
  <c r="J1306" i="14"/>
  <c r="J1298" i="14"/>
  <c r="J1290" i="14"/>
  <c r="J1299" i="14"/>
  <c r="J92" i="14"/>
  <c r="J101" i="14"/>
  <c r="J94" i="14"/>
  <c r="J86" i="14"/>
  <c r="J89" i="14"/>
  <c r="J97" i="14"/>
  <c r="J104" i="14"/>
  <c r="J108" i="14"/>
  <c r="J87" i="14"/>
  <c r="J95" i="14"/>
  <c r="J102" i="14"/>
  <c r="J107" i="14"/>
  <c r="J1318" i="14"/>
  <c r="J1323" i="14"/>
  <c r="J1322" i="14"/>
  <c r="J1327" i="14"/>
  <c r="J1311" i="14"/>
  <c r="J1324" i="14"/>
  <c r="J1316" i="14"/>
  <c r="J1308" i="14"/>
  <c r="J1321" i="14"/>
  <c r="J511" i="14"/>
  <c r="J516" i="14"/>
  <c r="J525" i="14"/>
  <c r="J520" i="14"/>
  <c r="J526" i="14"/>
  <c r="J47" i="14"/>
  <c r="J54" i="14"/>
  <c r="J52" i="14"/>
  <c r="J59" i="14"/>
  <c r="J60" i="14"/>
  <c r="J744" i="14"/>
  <c r="J509" i="14"/>
  <c r="J512" i="14"/>
  <c r="J513" i="14"/>
  <c r="J517" i="14"/>
  <c r="J523" i="14"/>
  <c r="J521" i="14"/>
  <c r="J518" i="14"/>
  <c r="J507" i="14"/>
  <c r="J506" i="14"/>
  <c r="J524" i="14"/>
  <c r="J514" i="14"/>
  <c r="F12" i="49"/>
  <c r="F6" i="49"/>
  <c r="F7" i="49"/>
  <c r="F11" i="49"/>
  <c r="F10" i="49"/>
  <c r="F8" i="49"/>
  <c r="F5" i="49"/>
  <c r="F9" i="49"/>
  <c r="I6" i="49"/>
  <c r="I5" i="49"/>
  <c r="I7" i="49"/>
  <c r="I11" i="49"/>
  <c r="I10" i="49"/>
  <c r="I8" i="49"/>
  <c r="I9" i="49"/>
  <c r="J933" i="14"/>
  <c r="J1575" i="14" l="1"/>
  <c r="J1580" i="14"/>
  <c r="J1573" i="14"/>
  <c r="K9" i="227"/>
  <c r="K6" i="227" s="1"/>
  <c r="K21" i="227" s="1"/>
  <c r="N856" i="148"/>
  <c r="O856" i="148" s="1"/>
  <c r="F303" i="148"/>
  <c r="N303" i="148" s="1"/>
  <c r="O303" i="148" s="1"/>
  <c r="J1570" i="14"/>
  <c r="J1582" i="14"/>
  <c r="J1577" i="14"/>
  <c r="J1557" i="14"/>
  <c r="J1555" i="14"/>
  <c r="J1566" i="14"/>
  <c r="J1568" i="14"/>
  <c r="H110" i="14"/>
  <c r="H84" i="14" s="1"/>
  <c r="J1571" i="14"/>
  <c r="J1564" i="14"/>
  <c r="J1561" i="14"/>
  <c r="J1554" i="14"/>
  <c r="J1559" i="14"/>
  <c r="J1552" i="14"/>
  <c r="J1569" i="14"/>
  <c r="J1553" i="14"/>
  <c r="J1562" i="14"/>
  <c r="J1578" i="14"/>
  <c r="J1567" i="14"/>
  <c r="J1551" i="14"/>
  <c r="J1560" i="14"/>
  <c r="J1576" i="14"/>
  <c r="J1565" i="14"/>
  <c r="J1574" i="14"/>
  <c r="J1558" i="14"/>
  <c r="J1581" i="14"/>
  <c r="J1563" i="14"/>
  <c r="J1572" i="14"/>
  <c r="J1556" i="14"/>
  <c r="F13" i="13"/>
  <c r="G13" i="13" s="1"/>
  <c r="I13" i="13" s="1"/>
  <c r="J311" i="14" s="1"/>
  <c r="J331" i="14" s="1"/>
  <c r="F687" i="148"/>
  <c r="F678" i="148"/>
  <c r="N733" i="148"/>
  <c r="O733" i="148" s="1"/>
  <c r="I733" i="148"/>
  <c r="L733" i="148" s="1"/>
  <c r="L791" i="148"/>
  <c r="K735" i="148"/>
  <c r="N9" i="26" s="1"/>
  <c r="F745" i="148"/>
  <c r="F849" i="148"/>
  <c r="N849" i="148" s="1"/>
  <c r="O849" i="148" s="1"/>
  <c r="I752" i="148"/>
  <c r="L752" i="148" s="1"/>
  <c r="N752" i="148"/>
  <c r="O752" i="148" s="1"/>
  <c r="I813" i="148"/>
  <c r="L813" i="148" s="1"/>
  <c r="N813" i="148"/>
  <c r="O813" i="148" s="1"/>
  <c r="F759" i="148"/>
  <c r="F766" i="148"/>
  <c r="F870" i="148"/>
  <c r="F863" i="148"/>
  <c r="F746" i="148"/>
  <c r="F850" i="148"/>
  <c r="I850" i="148" s="1"/>
  <c r="L850" i="148" s="1"/>
  <c r="F206" i="148"/>
  <c r="I206" i="148" s="1"/>
  <c r="L206" i="148" s="1"/>
  <c r="F899" i="148"/>
  <c r="N899" i="148" s="1"/>
  <c r="O899" i="148" s="1"/>
  <c r="F801" i="148"/>
  <c r="F782" i="148"/>
  <c r="F760" i="148"/>
  <c r="F886" i="148"/>
  <c r="N886" i="148" s="1"/>
  <c r="O886" i="148" s="1"/>
  <c r="F864" i="148"/>
  <c r="N864" i="148" s="1"/>
  <c r="O864" i="148" s="1"/>
  <c r="F857" i="148"/>
  <c r="N857" i="148" s="1"/>
  <c r="O857" i="148" s="1"/>
  <c r="F753" i="148"/>
  <c r="F928" i="148"/>
  <c r="F830" i="148"/>
  <c r="N764" i="148"/>
  <c r="O764" i="148" s="1"/>
  <c r="I764" i="148"/>
  <c r="L764" i="148" s="1"/>
  <c r="F749" i="148"/>
  <c r="F853" i="148"/>
  <c r="F758" i="148"/>
  <c r="F862" i="148"/>
  <c r="M929" i="148"/>
  <c r="I929" i="148"/>
  <c r="L929" i="148" s="1"/>
  <c r="F851" i="148"/>
  <c r="I851" i="148" s="1"/>
  <c r="L851" i="148" s="1"/>
  <c r="F747" i="148"/>
  <c r="F744" i="148"/>
  <c r="F848" i="148"/>
  <c r="I848" i="148" s="1"/>
  <c r="L848" i="148" s="1"/>
  <c r="N810" i="148"/>
  <c r="O810" i="148" s="1"/>
  <c r="I810" i="148"/>
  <c r="L810" i="148" s="1"/>
  <c r="F748" i="148"/>
  <c r="F852" i="148"/>
  <c r="I852" i="148" s="1"/>
  <c r="L852" i="148" s="1"/>
  <c r="M831" i="148"/>
  <c r="I831" i="148"/>
  <c r="L831" i="148" s="1"/>
  <c r="N757" i="148"/>
  <c r="O757" i="148" s="1"/>
  <c r="I757" i="148"/>
  <c r="L757" i="148" s="1"/>
  <c r="F654" i="148"/>
  <c r="I654" i="148" s="1"/>
  <c r="L654" i="148" s="1"/>
  <c r="F908" i="148"/>
  <c r="F357" i="148"/>
  <c r="N357" i="148" s="1"/>
  <c r="O357" i="148" s="1"/>
  <c r="F696" i="148"/>
  <c r="F706" i="148"/>
  <c r="I706" i="148" s="1"/>
  <c r="L706" i="148" s="1"/>
  <c r="N188" i="148"/>
  <c r="O188" i="148" s="1"/>
  <c r="I192" i="148"/>
  <c r="L192" i="148" s="1"/>
  <c r="F53" i="148"/>
  <c r="N53" i="148" s="1"/>
  <c r="O53" i="148" s="1"/>
  <c r="N191" i="148"/>
  <c r="O191" i="148" s="1"/>
  <c r="N189" i="148"/>
  <c r="O189" i="148" s="1"/>
  <c r="F32" i="13"/>
  <c r="G32" i="13" s="1"/>
  <c r="I32" i="13" s="1"/>
  <c r="F30" i="13"/>
  <c r="G30" i="13" s="1"/>
  <c r="F38" i="13"/>
  <c r="G38" i="13" s="1"/>
  <c r="I38" i="13" s="1"/>
  <c r="F9" i="13"/>
  <c r="G9" i="13" s="1"/>
  <c r="I9" i="13" s="1"/>
  <c r="A9" i="13" s="1"/>
  <c r="F17" i="13"/>
  <c r="G17" i="13" s="1"/>
  <c r="I17" i="13" s="1"/>
  <c r="J650" i="14" s="1"/>
  <c r="F14" i="13"/>
  <c r="G14" i="13" s="1"/>
  <c r="I14" i="13" s="1"/>
  <c r="I43" i="13"/>
  <c r="J1261" i="14" s="1"/>
  <c r="H1608" i="14"/>
  <c r="H1607" i="14"/>
  <c r="F946" i="148"/>
  <c r="N946" i="148" s="1"/>
  <c r="O946" i="148" s="1"/>
  <c r="F599" i="148"/>
  <c r="N599" i="148" s="1"/>
  <c r="O599" i="148" s="1"/>
  <c r="F592" i="148"/>
  <c r="N592" i="148" s="1"/>
  <c r="O592" i="148" s="1"/>
  <c r="F682" i="148"/>
  <c r="I682" i="148" s="1"/>
  <c r="L682" i="148" s="1"/>
  <c r="F496" i="148"/>
  <c r="I496" i="148" s="1"/>
  <c r="L496" i="148" s="1"/>
  <c r="F458" i="148"/>
  <c r="I458" i="148" s="1"/>
  <c r="L458" i="148" s="1"/>
  <c r="F507" i="148"/>
  <c r="N507" i="148" s="1"/>
  <c r="O507" i="148" s="1"/>
  <c r="F29" i="151"/>
  <c r="N294" i="148"/>
  <c r="O294" i="148" s="1"/>
  <c r="I361" i="148"/>
  <c r="L361" i="148" s="1"/>
  <c r="H454" i="14"/>
  <c r="H431" i="14" s="1"/>
  <c r="F12" i="13" s="1"/>
  <c r="G12" i="13" s="1"/>
  <c r="I12" i="13" s="1"/>
  <c r="J431" i="14" s="1"/>
  <c r="J452" i="14" s="1"/>
  <c r="F382" i="148"/>
  <c r="F373" i="148"/>
  <c r="F381" i="148"/>
  <c r="F372" i="148"/>
  <c r="I372" i="148" s="1"/>
  <c r="R288" i="148"/>
  <c r="I288" i="148"/>
  <c r="L288" i="148" s="1"/>
  <c r="O288" i="148" s="1"/>
  <c r="N288" i="148"/>
  <c r="I383" i="148"/>
  <c r="L383" i="148" s="1"/>
  <c r="N383" i="148"/>
  <c r="O383" i="148" s="1"/>
  <c r="N380" i="148"/>
  <c r="O380" i="148" s="1"/>
  <c r="I380" i="148"/>
  <c r="L380" i="148" s="1"/>
  <c r="N287" i="148"/>
  <c r="I287" i="148"/>
  <c r="L287" i="148" s="1"/>
  <c r="O287" i="148" s="1"/>
  <c r="R287" i="148"/>
  <c r="H377" i="148"/>
  <c r="F286" i="148"/>
  <c r="H41" i="14"/>
  <c r="H21" i="14" s="1"/>
  <c r="F10" i="13" s="1"/>
  <c r="H62" i="14"/>
  <c r="H42" i="14" s="1"/>
  <c r="N676" i="148"/>
  <c r="O676" i="148" s="1"/>
  <c r="L676" i="148"/>
  <c r="N675" i="148"/>
  <c r="O675" i="148" s="1"/>
  <c r="I675" i="148"/>
  <c r="L675" i="148" s="1"/>
  <c r="F344" i="148"/>
  <c r="I344" i="148" s="1"/>
  <c r="L344" i="148" s="1"/>
  <c r="F355" i="148"/>
  <c r="N337" i="148"/>
  <c r="O337" i="148" s="1"/>
  <c r="F41" i="151"/>
  <c r="F36" i="151"/>
  <c r="F42" i="151"/>
  <c r="F43" i="151"/>
  <c r="P10" i="49"/>
  <c r="P7" i="49"/>
  <c r="F164" i="151"/>
  <c r="F163" i="151"/>
  <c r="P5" i="49"/>
  <c r="P9" i="49"/>
  <c r="P8" i="49"/>
  <c r="P11" i="49"/>
  <c r="P6" i="49"/>
  <c r="P12" i="49"/>
  <c r="K22" i="227"/>
  <c r="K12" i="227"/>
  <c r="K13" i="227"/>
  <c r="K11" i="227"/>
  <c r="O9" i="26"/>
  <c r="N9" i="227"/>
  <c r="O9" i="227"/>
  <c r="M9" i="227"/>
  <c r="M9" i="26"/>
  <c r="L9" i="227"/>
  <c r="F115" i="148"/>
  <c r="N115" i="148" s="1"/>
  <c r="O115" i="148" s="1"/>
  <c r="J702" i="14"/>
  <c r="J699" i="14"/>
  <c r="J708" i="14"/>
  <c r="J714" i="14"/>
  <c r="J710" i="14"/>
  <c r="J704" i="14"/>
  <c r="J709" i="14"/>
  <c r="J697" i="14"/>
  <c r="J720" i="14"/>
  <c r="J713" i="14"/>
  <c r="J707" i="14"/>
  <c r="J716" i="14"/>
  <c r="J712" i="14"/>
  <c r="F11" i="13"/>
  <c r="G11" i="13" s="1"/>
  <c r="I11" i="13" s="1"/>
  <c r="J703" i="14"/>
  <c r="I33" i="13"/>
  <c r="J956" i="14" s="1"/>
  <c r="I37" i="13"/>
  <c r="J1406" i="14" s="1"/>
  <c r="I19" i="13"/>
  <c r="J137" i="14" s="1"/>
  <c r="J162" i="14" s="1"/>
  <c r="I36" i="13"/>
  <c r="J1358" i="14" s="1"/>
  <c r="I23" i="13"/>
  <c r="J335" i="14" s="1"/>
  <c r="I34" i="13"/>
  <c r="J984" i="14" s="1"/>
  <c r="G29" i="13"/>
  <c r="I29" i="13" s="1"/>
  <c r="I30" i="13"/>
  <c r="I39" i="13"/>
  <c r="J1462" i="14" s="1"/>
  <c r="J787" i="14"/>
  <c r="J718" i="14"/>
  <c r="J715" i="14"/>
  <c r="J717" i="14"/>
  <c r="J700" i="14"/>
  <c r="J698" i="14"/>
  <c r="J705" i="14"/>
  <c r="J701" i="14"/>
  <c r="J706" i="14"/>
  <c r="J719" i="14"/>
  <c r="J711" i="14"/>
  <c r="N508" i="148"/>
  <c r="O508" i="148" s="1"/>
  <c r="I508" i="148"/>
  <c r="L508" i="148" s="1"/>
  <c r="K515" i="148"/>
  <c r="N174" i="148"/>
  <c r="O174" i="148" s="1"/>
  <c r="F142" i="148"/>
  <c r="I142" i="148" s="1"/>
  <c r="L142" i="148" s="1"/>
  <c r="N564" i="148"/>
  <c r="O564" i="148" s="1"/>
  <c r="J287" i="14"/>
  <c r="J297" i="14" s="1"/>
  <c r="N196" i="148"/>
  <c r="O196" i="148" s="1"/>
  <c r="I196" i="148"/>
  <c r="L196" i="148" s="1"/>
  <c r="I233" i="148"/>
  <c r="N233" i="148"/>
  <c r="O233" i="148" s="1"/>
  <c r="N80" i="148"/>
  <c r="O80" i="148" s="1"/>
  <c r="I80" i="148"/>
  <c r="L80" i="148" s="1"/>
  <c r="N81" i="148"/>
  <c r="O81" i="148" s="1"/>
  <c r="I81" i="148"/>
  <c r="L81" i="148" s="1"/>
  <c r="N70" i="148"/>
  <c r="O70" i="148" s="1"/>
  <c r="I70" i="148"/>
  <c r="L70" i="148" s="1"/>
  <c r="N61" i="148"/>
  <c r="O61" i="148" s="1"/>
  <c r="I61" i="148"/>
  <c r="L61" i="148" s="1"/>
  <c r="I30" i="148"/>
  <c r="L30" i="148" s="1"/>
  <c r="N30" i="148"/>
  <c r="O30" i="148" s="1"/>
  <c r="K84" i="148"/>
  <c r="K422" i="148"/>
  <c r="F607" i="148"/>
  <c r="F474" i="148"/>
  <c r="I474" i="148" s="1"/>
  <c r="F456" i="148"/>
  <c r="I456" i="148" s="1"/>
  <c r="F443" i="148"/>
  <c r="I443" i="148" s="1"/>
  <c r="F590" i="148"/>
  <c r="F577" i="148"/>
  <c r="F444" i="148"/>
  <c r="I444" i="148" s="1"/>
  <c r="F578" i="148"/>
  <c r="F457" i="148"/>
  <c r="I457" i="148" s="1"/>
  <c r="F591" i="148"/>
  <c r="F665" i="148"/>
  <c r="F464" i="148"/>
  <c r="I464" i="148" s="1"/>
  <c r="F447" i="148"/>
  <c r="I447" i="148" s="1"/>
  <c r="F478" i="148"/>
  <c r="F581" i="148"/>
  <c r="F611" i="148"/>
  <c r="F479" i="148"/>
  <c r="F475" i="148"/>
  <c r="I475" i="148" s="1"/>
  <c r="F612" i="148"/>
  <c r="F608" i="148"/>
  <c r="F616" i="148"/>
  <c r="N616" i="148" s="1"/>
  <c r="O616" i="148" s="1"/>
  <c r="F483" i="148"/>
  <c r="I483" i="148" s="1"/>
  <c r="F128" i="148"/>
  <c r="F96" i="148"/>
  <c r="F374" i="148"/>
  <c r="L124" i="148"/>
  <c r="N124" i="148"/>
  <c r="O124" i="148" s="1"/>
  <c r="F261" i="148"/>
  <c r="I261" i="148" s="1"/>
  <c r="F943" i="148"/>
  <c r="N943" i="148" s="1"/>
  <c r="O943" i="148" s="1"/>
  <c r="F146" i="148"/>
  <c r="I146" i="148" s="1"/>
  <c r="L146" i="148" s="1"/>
  <c r="F125" i="148"/>
  <c r="I125" i="148" s="1"/>
  <c r="F93" i="148"/>
  <c r="F123" i="148"/>
  <c r="I123" i="148" s="1"/>
  <c r="F91" i="148"/>
  <c r="F92" i="148"/>
  <c r="I92" i="148" s="1"/>
  <c r="N340" i="148"/>
  <c r="O340" i="148" s="1"/>
  <c r="L340" i="148"/>
  <c r="F341" i="148"/>
  <c r="I341" i="148" s="1"/>
  <c r="F60" i="148"/>
  <c r="F29" i="148"/>
  <c r="F14" i="148"/>
  <c r="I14" i="148" s="1"/>
  <c r="L14" i="148" s="1"/>
  <c r="A14" i="148" s="1"/>
  <c r="F25" i="148"/>
  <c r="J602" i="14"/>
  <c r="J722" i="14"/>
  <c r="J733" i="14"/>
  <c r="J1037" i="14"/>
  <c r="J1015" i="14"/>
  <c r="J1024" i="14"/>
  <c r="J1022" i="14"/>
  <c r="J1025" i="14"/>
  <c r="J1038" i="14"/>
  <c r="J1029" i="14"/>
  <c r="J1023" i="14"/>
  <c r="J1013" i="14"/>
  <c r="J1014" i="14"/>
  <c r="J1027" i="14"/>
  <c r="J1031" i="14"/>
  <c r="J1036" i="14"/>
  <c r="J1026" i="14"/>
  <c r="J1033" i="14"/>
  <c r="G26" i="13"/>
  <c r="I26" i="13" s="1"/>
  <c r="J1028" i="14"/>
  <c r="J1017" i="14"/>
  <c r="J1032" i="14"/>
  <c r="J1035" i="14"/>
  <c r="J1039" i="14"/>
  <c r="J1020" i="14"/>
  <c r="J1016" i="14"/>
  <c r="J1019" i="14"/>
  <c r="J1030" i="14"/>
  <c r="J1018" i="14"/>
  <c r="J1021" i="14"/>
  <c r="J1034" i="14"/>
  <c r="J897" i="14"/>
  <c r="J275" i="14"/>
  <c r="J858" i="14"/>
  <c r="J863" i="14"/>
  <c r="J845" i="14"/>
  <c r="J740" i="14"/>
  <c r="J726" i="14"/>
  <c r="J737" i="14"/>
  <c r="J734" i="14"/>
  <c r="J847" i="14"/>
  <c r="J842" i="14"/>
  <c r="J856" i="14"/>
  <c r="J857" i="14"/>
  <c r="J855" i="14"/>
  <c r="J866" i="14"/>
  <c r="J850" i="14"/>
  <c r="J865" i="14"/>
  <c r="J864" i="14"/>
  <c r="J848" i="14"/>
  <c r="J861" i="14"/>
  <c r="J853" i="14"/>
  <c r="J859" i="14"/>
  <c r="J851" i="14"/>
  <c r="J843" i="14"/>
  <c r="J862" i="14"/>
  <c r="J854" i="14"/>
  <c r="J846" i="14"/>
  <c r="J868" i="14"/>
  <c r="J849" i="14"/>
  <c r="J841" i="14"/>
  <c r="J860" i="14"/>
  <c r="J852" i="14"/>
  <c r="F25" i="13"/>
  <c r="G25" i="13" s="1"/>
  <c r="I25" i="13" s="1"/>
  <c r="F21" i="13"/>
  <c r="G21" i="13" s="1"/>
  <c r="J266" i="14"/>
  <c r="J267" i="14"/>
  <c r="J265" i="14"/>
  <c r="J738" i="14"/>
  <c r="J731" i="14"/>
  <c r="J724" i="14"/>
  <c r="J742" i="14"/>
  <c r="J735" i="14"/>
  <c r="J728" i="14"/>
  <c r="J741" i="14"/>
  <c r="J522" i="14"/>
  <c r="J781" i="14"/>
  <c r="J785" i="14"/>
  <c r="J775" i="14"/>
  <c r="J776" i="14"/>
  <c r="J773" i="14"/>
  <c r="J789" i="14"/>
  <c r="J772" i="14"/>
  <c r="J790" i="14"/>
  <c r="J778" i="14"/>
  <c r="J792" i="14"/>
  <c r="J780" i="14"/>
  <c r="J782" i="14"/>
  <c r="J788" i="14"/>
  <c r="J793" i="14"/>
  <c r="J784" i="14"/>
  <c r="J779" i="14"/>
  <c r="J774" i="14"/>
  <c r="J786" i="14"/>
  <c r="J777" i="14"/>
  <c r="J791" i="14"/>
  <c r="J397" i="14"/>
  <c r="J390" i="14"/>
  <c r="J406" i="14"/>
  <c r="J392" i="14"/>
  <c r="J403" i="14"/>
  <c r="J401" i="14"/>
  <c r="J391" i="14"/>
  <c r="J388" i="14"/>
  <c r="J402" i="14"/>
  <c r="J510" i="14"/>
  <c r="J732" i="14"/>
  <c r="J727" i="14"/>
  <c r="J730" i="14"/>
  <c r="J505" i="14"/>
  <c r="F94" i="148"/>
  <c r="N94" i="148" s="1"/>
  <c r="F42" i="148"/>
  <c r="J739" i="14"/>
  <c r="J519" i="14"/>
  <c r="J743" i="14"/>
  <c r="J745" i="14"/>
  <c r="N655" i="148"/>
  <c r="O655" i="148" s="1"/>
  <c r="I655" i="148"/>
  <c r="L655" i="148" s="1"/>
  <c r="N296" i="148"/>
  <c r="O296" i="148" s="1"/>
  <c r="I296" i="148"/>
  <c r="L296" i="148" s="1"/>
  <c r="I861" i="148"/>
  <c r="L861" i="148" s="1"/>
  <c r="N861" i="148"/>
  <c r="O861" i="148" s="1"/>
  <c r="I20" i="148"/>
  <c r="L20" i="148" s="1"/>
  <c r="O20" i="148"/>
  <c r="F34" i="148"/>
  <c r="N34" i="148" s="1"/>
  <c r="F690" i="148"/>
  <c r="F136" i="148"/>
  <c r="I136" i="148" s="1"/>
  <c r="F187" i="148"/>
  <c r="I187" i="148" s="1"/>
  <c r="O26" i="148"/>
  <c r="I26" i="148"/>
  <c r="L26" i="148" s="1"/>
  <c r="F48" i="148"/>
  <c r="N48" i="148" s="1"/>
  <c r="L333" i="148"/>
  <c r="N333" i="148"/>
  <c r="O333" i="148" s="1"/>
  <c r="N213" i="148"/>
  <c r="O213" i="148" s="1"/>
  <c r="I213" i="148"/>
  <c r="L213" i="148" s="1"/>
  <c r="F16" i="148"/>
  <c r="N16" i="148" s="1"/>
  <c r="F46" i="148"/>
  <c r="O18" i="148"/>
  <c r="I18" i="148"/>
  <c r="L18" i="148" s="1"/>
  <c r="F664" i="148"/>
  <c r="F639" i="148"/>
  <c r="L371" i="148"/>
  <c r="N371" i="148"/>
  <c r="O371" i="148" s="1"/>
  <c r="N868" i="148"/>
  <c r="O868" i="148" s="1"/>
  <c r="I868" i="148"/>
  <c r="L868" i="148" s="1"/>
  <c r="N911" i="148"/>
  <c r="O911" i="148" s="1"/>
  <c r="I911" i="148"/>
  <c r="L911" i="148" s="1"/>
  <c r="F49" i="148"/>
  <c r="F688" i="148"/>
  <c r="F691" i="148"/>
  <c r="F134" i="148"/>
  <c r="I134" i="148" s="1"/>
  <c r="F342" i="148"/>
  <c r="I342" i="148" s="1"/>
  <c r="J723" i="14"/>
  <c r="J736" i="14"/>
  <c r="J515" i="14"/>
  <c r="J729" i="14"/>
  <c r="F152" i="148"/>
  <c r="I152" i="148" s="1"/>
  <c r="F71" i="148"/>
  <c r="F135" i="148"/>
  <c r="I135" i="148" s="1"/>
  <c r="F15" i="148"/>
  <c r="N15" i="148" s="1"/>
  <c r="F45" i="148"/>
  <c r="F640" i="148"/>
  <c r="F662" i="148"/>
  <c r="F657" i="148"/>
  <c r="F215" i="148"/>
  <c r="N133" i="148"/>
  <c r="O133" i="148" s="1"/>
  <c r="L133" i="148"/>
  <c r="N625" i="148"/>
  <c r="O625" i="148" s="1"/>
  <c r="I625" i="148"/>
  <c r="L625" i="148" s="1"/>
  <c r="N656" i="148"/>
  <c r="O656" i="148" s="1"/>
  <c r="I656" i="148"/>
  <c r="L656" i="148" s="1"/>
  <c r="F502" i="148"/>
  <c r="F426" i="148"/>
  <c r="F195" i="148"/>
  <c r="F153" i="148"/>
  <c r="I153" i="148" s="1"/>
  <c r="N154" i="148"/>
  <c r="O154" i="148" s="1"/>
  <c r="L154" i="148"/>
  <c r="J475" i="14"/>
  <c r="J472" i="14"/>
  <c r="J460" i="14"/>
  <c r="J462" i="14"/>
  <c r="J471" i="14"/>
  <c r="J478" i="14"/>
  <c r="J469" i="14"/>
  <c r="J473" i="14"/>
  <c r="J456" i="14"/>
  <c r="J459" i="14"/>
  <c r="J474" i="14"/>
  <c r="J464" i="14"/>
  <c r="J476" i="14"/>
  <c r="J467" i="14"/>
  <c r="J470" i="14"/>
  <c r="J477" i="14"/>
  <c r="J461" i="14"/>
  <c r="J466" i="14"/>
  <c r="J468" i="14"/>
  <c r="J457" i="14"/>
  <c r="J454" i="14"/>
  <c r="J453" i="14"/>
  <c r="J436" i="14"/>
  <c r="J450" i="14"/>
  <c r="J445" i="14"/>
  <c r="J443" i="14"/>
  <c r="J435" i="14"/>
  <c r="J433" i="14"/>
  <c r="J465" i="14"/>
  <c r="J458" i="14"/>
  <c r="L12" i="26"/>
  <c r="L11" i="26"/>
  <c r="L22" i="26"/>
  <c r="L21" i="26"/>
  <c r="L13" i="26"/>
  <c r="C13" i="49"/>
  <c r="J929" i="14"/>
  <c r="J947" i="14"/>
  <c r="J930" i="14"/>
  <c r="J932" i="14"/>
  <c r="J950" i="14"/>
  <c r="J948" i="14"/>
  <c r="J945" i="14"/>
  <c r="J946" i="14"/>
  <c r="J943" i="14"/>
  <c r="J934" i="14"/>
  <c r="J931" i="14"/>
  <c r="J940" i="14"/>
  <c r="J953" i="14"/>
  <c r="J937" i="14"/>
  <c r="J954" i="14"/>
  <c r="J938" i="14"/>
  <c r="J951" i="14"/>
  <c r="J935" i="14"/>
  <c r="J942" i="14"/>
  <c r="J955" i="14"/>
  <c r="J939" i="14"/>
  <c r="J952" i="14"/>
  <c r="J944" i="14"/>
  <c r="J936" i="14"/>
  <c r="J928" i="14"/>
  <c r="J949" i="14"/>
  <c r="J941" i="14"/>
  <c r="J1258" i="14"/>
  <c r="J1248" i="14"/>
  <c r="J1246" i="14"/>
  <c r="J1247" i="14"/>
  <c r="J1253" i="14"/>
  <c r="J1251" i="14"/>
  <c r="J1242" i="14"/>
  <c r="J1256" i="14"/>
  <c r="J1240" i="14"/>
  <c r="J1245" i="14"/>
  <c r="J1254" i="14"/>
  <c r="J1259" i="14"/>
  <c r="J1243" i="14"/>
  <c r="J1250" i="14"/>
  <c r="J1255" i="14"/>
  <c r="J1260" i="14"/>
  <c r="J1252" i="14"/>
  <c r="J1244" i="14"/>
  <c r="J1257" i="14"/>
  <c r="J1249" i="14"/>
  <c r="J926" i="14"/>
  <c r="J925" i="14"/>
  <c r="J921" i="14"/>
  <c r="J917" i="14"/>
  <c r="J913" i="14"/>
  <c r="J909" i="14"/>
  <c r="J905" i="14"/>
  <c r="J901" i="14"/>
  <c r="J923" i="14"/>
  <c r="J919" i="14"/>
  <c r="J915" i="14"/>
  <c r="J911" i="14"/>
  <c r="J907" i="14"/>
  <c r="J903" i="14"/>
  <c r="J899" i="14"/>
  <c r="J900" i="14"/>
  <c r="J904" i="14"/>
  <c r="J908" i="14"/>
  <c r="J912" i="14"/>
  <c r="J916" i="14"/>
  <c r="J920" i="14"/>
  <c r="J924" i="14"/>
  <c r="J902" i="14"/>
  <c r="J910" i="14"/>
  <c r="J918" i="14"/>
  <c r="J906" i="14"/>
  <c r="J914" i="14"/>
  <c r="J922" i="14"/>
  <c r="J439" i="14" l="1"/>
  <c r="J440" i="14"/>
  <c r="J438" i="14"/>
  <c r="J434" i="14"/>
  <c r="J448" i="14"/>
  <c r="J442" i="14"/>
  <c r="J449" i="14"/>
  <c r="J444" i="14"/>
  <c r="J451" i="14"/>
  <c r="N848" i="148"/>
  <c r="O848" i="148" s="1"/>
  <c r="N851" i="148"/>
  <c r="O851" i="148" s="1"/>
  <c r="N852" i="148"/>
  <c r="O852" i="148" s="1"/>
  <c r="N850" i="148"/>
  <c r="O850" i="148" s="1"/>
  <c r="N654" i="148"/>
  <c r="O654" i="148" s="1"/>
  <c r="N206" i="148"/>
  <c r="O206" i="148" s="1"/>
  <c r="F295" i="148"/>
  <c r="N295" i="148" s="1"/>
  <c r="O295" i="148" s="1"/>
  <c r="I53" i="148"/>
  <c r="L53" i="148" s="1"/>
  <c r="N706" i="148"/>
  <c r="O706" i="148" s="1"/>
  <c r="I849" i="148"/>
  <c r="L849" i="148" s="1"/>
  <c r="I857" i="148"/>
  <c r="L857" i="148" s="1"/>
  <c r="F28" i="151"/>
  <c r="F302" i="148" s="1"/>
  <c r="J552" i="14"/>
  <c r="J573" i="14" s="1"/>
  <c r="J577" i="14"/>
  <c r="J313" i="14"/>
  <c r="J327" i="14"/>
  <c r="J328" i="14"/>
  <c r="J319" i="14"/>
  <c r="J333" i="14"/>
  <c r="J318" i="14"/>
  <c r="J323" i="14"/>
  <c r="J322" i="14"/>
  <c r="J332" i="14"/>
  <c r="J329" i="14"/>
  <c r="J320" i="14"/>
  <c r="J330" i="14"/>
  <c r="J316" i="14"/>
  <c r="J314" i="14"/>
  <c r="J312" i="14"/>
  <c r="J326" i="14"/>
  <c r="J321" i="14"/>
  <c r="J317" i="14"/>
  <c r="J325" i="14"/>
  <c r="J324" i="14"/>
  <c r="J315" i="14"/>
  <c r="J334" i="14"/>
  <c r="J432" i="14"/>
  <c r="J441" i="14"/>
  <c r="J447" i="14"/>
  <c r="J437" i="14"/>
  <c r="J446" i="14"/>
  <c r="J527" i="14"/>
  <c r="J529" i="14" s="1"/>
  <c r="F881" i="148"/>
  <c r="F777" i="148"/>
  <c r="F731" i="148"/>
  <c r="F347" i="148"/>
  <c r="N678" i="148"/>
  <c r="O678" i="148" s="1"/>
  <c r="I678" i="148"/>
  <c r="L678" i="148" s="1"/>
  <c r="F829" i="148"/>
  <c r="F927" i="148"/>
  <c r="F740" i="148"/>
  <c r="F855" i="148"/>
  <c r="F751" i="148"/>
  <c r="F775" i="148"/>
  <c r="F885" i="148"/>
  <c r="F879" i="148"/>
  <c r="F781" i="148"/>
  <c r="F844" i="148"/>
  <c r="F847" i="148"/>
  <c r="N847" i="148" s="1"/>
  <c r="O847" i="148" s="1"/>
  <c r="F743" i="148"/>
  <c r="F914" i="148"/>
  <c r="F816" i="148"/>
  <c r="F786" i="148"/>
  <c r="F890" i="148"/>
  <c r="I890" i="148" s="1"/>
  <c r="L890" i="148" s="1"/>
  <c r="I758" i="148"/>
  <c r="L758" i="148" s="1"/>
  <c r="N758" i="148"/>
  <c r="O758" i="148" s="1"/>
  <c r="I782" i="148"/>
  <c r="L782" i="148" s="1"/>
  <c r="N782" i="148"/>
  <c r="O782" i="148" s="1"/>
  <c r="N766" i="148"/>
  <c r="O766" i="148" s="1"/>
  <c r="I766" i="148"/>
  <c r="L766" i="148" s="1"/>
  <c r="F907" i="148"/>
  <c r="F809" i="148"/>
  <c r="F742" i="148"/>
  <c r="F846" i="148"/>
  <c r="N846" i="148" s="1"/>
  <c r="O846" i="148" s="1"/>
  <c r="M830" i="148"/>
  <c r="I830" i="148"/>
  <c r="L830" i="148" s="1"/>
  <c r="N801" i="148"/>
  <c r="O801" i="148" s="1"/>
  <c r="I801" i="148"/>
  <c r="L801" i="148" s="1"/>
  <c r="N746" i="148"/>
  <c r="O746" i="148" s="1"/>
  <c r="I746" i="148"/>
  <c r="L746" i="148" s="1"/>
  <c r="I759" i="148"/>
  <c r="L759" i="148" s="1"/>
  <c r="N759" i="148"/>
  <c r="O759" i="148" s="1"/>
  <c r="F686" i="148"/>
  <c r="I686" i="148" s="1"/>
  <c r="L686" i="148" s="1"/>
  <c r="F930" i="148"/>
  <c r="F832" i="148"/>
  <c r="F804" i="148"/>
  <c r="F902" i="148"/>
  <c r="N748" i="148"/>
  <c r="O748" i="148" s="1"/>
  <c r="I748" i="148"/>
  <c r="L748" i="148" s="1"/>
  <c r="N744" i="148"/>
  <c r="O744" i="148" s="1"/>
  <c r="I744" i="148"/>
  <c r="L744" i="148" s="1"/>
  <c r="N749" i="148"/>
  <c r="O749" i="148" s="1"/>
  <c r="I749" i="148"/>
  <c r="L749" i="148" s="1"/>
  <c r="I928" i="148"/>
  <c r="L928" i="148" s="1"/>
  <c r="M928" i="148"/>
  <c r="F877" i="148"/>
  <c r="N877" i="148" s="1"/>
  <c r="O877" i="148" s="1"/>
  <c r="F773" i="148"/>
  <c r="F772" i="148"/>
  <c r="F741" i="148"/>
  <c r="F876" i="148"/>
  <c r="N876" i="148" s="1"/>
  <c r="O876" i="148" s="1"/>
  <c r="F845" i="148"/>
  <c r="I845" i="148" s="1"/>
  <c r="L845" i="148" s="1"/>
  <c r="F785" i="148"/>
  <c r="F889" i="148"/>
  <c r="I889" i="148" s="1"/>
  <c r="L889" i="148" s="1"/>
  <c r="N747" i="148"/>
  <c r="O747" i="148" s="1"/>
  <c r="I747" i="148"/>
  <c r="L747" i="148" s="1"/>
  <c r="N753" i="148"/>
  <c r="O753" i="148" s="1"/>
  <c r="I753" i="148"/>
  <c r="L753" i="148" s="1"/>
  <c r="N760" i="148"/>
  <c r="O760" i="148" s="1"/>
  <c r="I760" i="148"/>
  <c r="L760" i="148" s="1"/>
  <c r="N745" i="148"/>
  <c r="O745" i="148" s="1"/>
  <c r="I745" i="148"/>
  <c r="L745" i="148" s="1"/>
  <c r="F653" i="148"/>
  <c r="N653" i="148" s="1"/>
  <c r="O653" i="148" s="1"/>
  <c r="N908" i="148"/>
  <c r="O908" i="148" s="1"/>
  <c r="I908" i="148"/>
  <c r="L908" i="148" s="1"/>
  <c r="I592" i="148"/>
  <c r="L592" i="148" s="1"/>
  <c r="F692" i="148"/>
  <c r="I692" i="148" s="1"/>
  <c r="L692" i="148" s="1"/>
  <c r="F401" i="148"/>
  <c r="N401" i="148" s="1"/>
  <c r="O401" i="148" s="1"/>
  <c r="F405" i="148"/>
  <c r="I405" i="148" s="1"/>
  <c r="L405" i="148" s="1"/>
  <c r="I357" i="148"/>
  <c r="L357" i="148" s="1"/>
  <c r="F365" i="148"/>
  <c r="N365" i="148" s="1"/>
  <c r="O365" i="148" s="1"/>
  <c r="F713" i="148"/>
  <c r="F395" i="148"/>
  <c r="I395" i="148" s="1"/>
  <c r="F699" i="148"/>
  <c r="F703" i="148"/>
  <c r="F701" i="148"/>
  <c r="F728" i="148"/>
  <c r="N728" i="148" s="1"/>
  <c r="O728" i="148" s="1"/>
  <c r="F408" i="148"/>
  <c r="N696" i="148"/>
  <c r="O696" i="148" s="1"/>
  <c r="I696" i="148"/>
  <c r="L696" i="148" s="1"/>
  <c r="F438" i="148"/>
  <c r="N438" i="148" s="1"/>
  <c r="O438" i="148" s="1"/>
  <c r="F392" i="148"/>
  <c r="I392" i="148" s="1"/>
  <c r="L392" i="148" s="1"/>
  <c r="F710" i="148"/>
  <c r="N496" i="148"/>
  <c r="O496" i="148" s="1"/>
  <c r="F330" i="148"/>
  <c r="I886" i="148"/>
  <c r="L886" i="148" s="1"/>
  <c r="I507" i="148"/>
  <c r="L507" i="148" s="1"/>
  <c r="I946" i="148"/>
  <c r="L946" i="148" s="1"/>
  <c r="I864" i="148"/>
  <c r="L864" i="148" s="1"/>
  <c r="J627" i="14"/>
  <c r="J645" i="14" s="1"/>
  <c r="F737" i="148"/>
  <c r="J655" i="14"/>
  <c r="J660" i="14"/>
  <c r="J654" i="14"/>
  <c r="J670" i="14"/>
  <c r="J662" i="14"/>
  <c r="J672" i="14"/>
  <c r="J657" i="14"/>
  <c r="J665" i="14"/>
  <c r="J664" i="14"/>
  <c r="J669" i="14"/>
  <c r="J656" i="14"/>
  <c r="J661" i="14"/>
  <c r="J653" i="14"/>
  <c r="J651" i="14"/>
  <c r="J663" i="14"/>
  <c r="J666" i="14"/>
  <c r="J668" i="14"/>
  <c r="J652" i="14"/>
  <c r="J667" i="14"/>
  <c r="J659" i="14"/>
  <c r="J671" i="14"/>
  <c r="J658" i="14"/>
  <c r="J1280" i="14"/>
  <c r="J1267" i="14"/>
  <c r="J1269" i="14"/>
  <c r="J1272" i="14"/>
  <c r="J1279" i="14"/>
  <c r="J1273" i="14"/>
  <c r="J1263" i="14"/>
  <c r="J1262" i="14"/>
  <c r="J1271" i="14"/>
  <c r="J1266" i="14"/>
  <c r="J1265" i="14"/>
  <c r="J1282" i="14"/>
  <c r="J1276" i="14"/>
  <c r="J1264" i="14"/>
  <c r="J1278" i="14"/>
  <c r="J1281" i="14"/>
  <c r="J1268" i="14"/>
  <c r="J1274" i="14"/>
  <c r="J1277" i="14"/>
  <c r="J1270" i="14"/>
  <c r="J1275" i="14"/>
  <c r="H1606" i="14"/>
  <c r="H1609" i="14" s="1"/>
  <c r="N682" i="148"/>
  <c r="O682" i="148" s="1"/>
  <c r="I599" i="148"/>
  <c r="L599" i="148" s="1"/>
  <c r="N458" i="148"/>
  <c r="O458" i="148" s="1"/>
  <c r="F567" i="148"/>
  <c r="I567" i="148" s="1"/>
  <c r="L567" i="148" s="1"/>
  <c r="F358" i="148"/>
  <c r="F149" i="148"/>
  <c r="F207" i="148"/>
  <c r="F566" i="148"/>
  <c r="I566" i="148" s="1"/>
  <c r="L566" i="148" s="1"/>
  <c r="F290" i="148"/>
  <c r="I290" i="148" s="1"/>
  <c r="L290" i="148" s="1"/>
  <c r="F301" i="148"/>
  <c r="F509" i="148"/>
  <c r="F626" i="148"/>
  <c r="J215" i="14"/>
  <c r="J239" i="14"/>
  <c r="K377" i="148"/>
  <c r="L377" i="148" s="1"/>
  <c r="N377" i="148"/>
  <c r="O377" i="148" s="1"/>
  <c r="R286" i="148"/>
  <c r="N286" i="148"/>
  <c r="I286" i="148"/>
  <c r="L286" i="148" s="1"/>
  <c r="O286" i="148" s="1"/>
  <c r="N381" i="148"/>
  <c r="O381" i="148" s="1"/>
  <c r="I381" i="148"/>
  <c r="L381" i="148" s="1"/>
  <c r="I382" i="148"/>
  <c r="L382" i="148" s="1"/>
  <c r="N382" i="148"/>
  <c r="O382" i="148" s="1"/>
  <c r="G10" i="13"/>
  <c r="I10" i="13" s="1"/>
  <c r="J21" i="14" s="1"/>
  <c r="J31" i="14" s="1"/>
  <c r="F35" i="151"/>
  <c r="F55" i="148" s="1"/>
  <c r="N344" i="148"/>
  <c r="O344" i="148" s="1"/>
  <c r="F101" i="148"/>
  <c r="I101" i="148" s="1"/>
  <c r="L101" i="148" s="1"/>
  <c r="N355" i="148"/>
  <c r="O355" i="148" s="1"/>
  <c r="I355" i="148"/>
  <c r="L355" i="148" s="1"/>
  <c r="K10" i="227"/>
  <c r="K15" i="227" s="1"/>
  <c r="K16" i="227" s="1"/>
  <c r="E136" i="111" s="1"/>
  <c r="F218" i="148"/>
  <c r="F177" i="148"/>
  <c r="F606" i="148"/>
  <c r="N606" i="148" s="1"/>
  <c r="O606" i="148" s="1"/>
  <c r="F156" i="148"/>
  <c r="N156" i="148" s="1"/>
  <c r="O156" i="148" s="1"/>
  <c r="F958" i="148"/>
  <c r="F472" i="148"/>
  <c r="I472" i="148" s="1"/>
  <c r="F828" i="148"/>
  <c r="F511" i="148"/>
  <c r="F24" i="148"/>
  <c r="I24" i="148" s="1"/>
  <c r="L24" i="148" s="1"/>
  <c r="F454" i="148"/>
  <c r="I454" i="148" s="1"/>
  <c r="F118" i="148"/>
  <c r="I118" i="148" s="1"/>
  <c r="F951" i="148"/>
  <c r="I951" i="148" s="1"/>
  <c r="L951" i="148" s="1"/>
  <c r="F694" i="148"/>
  <c r="N694" i="148" s="1"/>
  <c r="O694" i="148" s="1"/>
  <c r="F364" i="148"/>
  <c r="F39" i="148"/>
  <c r="I39" i="148" s="1"/>
  <c r="L39" i="148" s="1"/>
  <c r="F378" i="148"/>
  <c r="F150" i="148"/>
  <c r="N150" i="148" s="1"/>
  <c r="O150" i="148" s="1"/>
  <c r="F58" i="148"/>
  <c r="N58" i="148" s="1"/>
  <c r="O58" i="148" s="1"/>
  <c r="F763" i="148"/>
  <c r="F104" i="148"/>
  <c r="I104" i="148" s="1"/>
  <c r="F132" i="148"/>
  <c r="I132" i="148" s="1"/>
  <c r="L132" i="148" s="1"/>
  <c r="F959" i="148"/>
  <c r="N959" i="148" s="1"/>
  <c r="O959" i="148" s="1"/>
  <c r="F685" i="148"/>
  <c r="I685" i="148" s="1"/>
  <c r="L685" i="148" s="1"/>
  <c r="F129" i="148"/>
  <c r="I129" i="148" s="1"/>
  <c r="F689" i="148"/>
  <c r="N689" i="148" s="1"/>
  <c r="O689" i="148" s="1"/>
  <c r="F530" i="148"/>
  <c r="N530" i="148" s="1"/>
  <c r="O530" i="148" s="1"/>
  <c r="F109" i="148"/>
  <c r="F563" i="148"/>
  <c r="F219" i="148"/>
  <c r="F116" i="148"/>
  <c r="F235" i="148"/>
  <c r="F162" i="151"/>
  <c r="F316" i="148"/>
  <c r="I316" i="148" s="1"/>
  <c r="L316" i="148" s="1"/>
  <c r="K27" i="49"/>
  <c r="L27" i="49" s="1"/>
  <c r="F312" i="148"/>
  <c r="I312" i="148" s="1"/>
  <c r="L312" i="148" s="1"/>
  <c r="K26" i="49"/>
  <c r="L26" i="49" s="1"/>
  <c r="F315" i="148"/>
  <c r="N315" i="148" s="1"/>
  <c r="O315" i="148" s="1"/>
  <c r="H27" i="49"/>
  <c r="I27" i="49" s="1"/>
  <c r="F311" i="148"/>
  <c r="I311" i="148" s="1"/>
  <c r="L311" i="148" s="1"/>
  <c r="H26" i="49"/>
  <c r="I26" i="49" s="1"/>
  <c r="F310" i="148"/>
  <c r="I310" i="148" s="1"/>
  <c r="L310" i="148" s="1"/>
  <c r="E26" i="49"/>
  <c r="F26" i="49" s="1"/>
  <c r="F317" i="148"/>
  <c r="N317" i="148" s="1"/>
  <c r="O317" i="148" s="1"/>
  <c r="N27" i="49"/>
  <c r="O27" i="49" s="1"/>
  <c r="F313" i="148"/>
  <c r="I313" i="148" s="1"/>
  <c r="L313" i="148" s="1"/>
  <c r="N26" i="49"/>
  <c r="O26" i="49" s="1"/>
  <c r="F314" i="148"/>
  <c r="N314" i="148" s="1"/>
  <c r="O314" i="148" s="1"/>
  <c r="E27" i="49"/>
  <c r="F27" i="49" s="1"/>
  <c r="F413" i="148"/>
  <c r="N413" i="148" s="1"/>
  <c r="O413" i="148" s="1"/>
  <c r="K20" i="227"/>
  <c r="J9" i="26"/>
  <c r="F9" i="26"/>
  <c r="F9" i="227"/>
  <c r="K9" i="26"/>
  <c r="L261" i="148"/>
  <c r="I115" i="148"/>
  <c r="L115" i="148" s="1"/>
  <c r="I899" i="148"/>
  <c r="L899" i="148" s="1"/>
  <c r="N142" i="148"/>
  <c r="O142" i="148" s="1"/>
  <c r="J341" i="14"/>
  <c r="J350" i="14"/>
  <c r="J337" i="14"/>
  <c r="J349" i="14"/>
  <c r="J358" i="14"/>
  <c r="J351" i="14"/>
  <c r="J355" i="14"/>
  <c r="J339" i="14"/>
  <c r="J348" i="14"/>
  <c r="J353" i="14"/>
  <c r="J343" i="14"/>
  <c r="J345" i="14"/>
  <c r="J336" i="14"/>
  <c r="J342" i="14"/>
  <c r="J340" i="14"/>
  <c r="J338" i="14"/>
  <c r="J352" i="14"/>
  <c r="J346" i="14"/>
  <c r="J1011" i="14"/>
  <c r="J1009" i="14"/>
  <c r="J993" i="14"/>
  <c r="J1001" i="14"/>
  <c r="J1003" i="14"/>
  <c r="J289" i="14"/>
  <c r="J1008" i="14"/>
  <c r="J1000" i="14"/>
  <c r="J1006" i="14"/>
  <c r="J985" i="14"/>
  <c r="J1007" i="14"/>
  <c r="J1005" i="14"/>
  <c r="J1004" i="14"/>
  <c r="J991" i="14"/>
  <c r="J997" i="14"/>
  <c r="J988" i="14"/>
  <c r="J986" i="14"/>
  <c r="J998" i="14"/>
  <c r="J989" i="14"/>
  <c r="J995" i="14"/>
  <c r="J994" i="14"/>
  <c r="J1002" i="14"/>
  <c r="I21" i="13"/>
  <c r="J673" i="14" s="1"/>
  <c r="J987" i="14"/>
  <c r="J990" i="14"/>
  <c r="J992" i="14"/>
  <c r="J996" i="14"/>
  <c r="J999" i="14"/>
  <c r="J1010" i="14"/>
  <c r="J291" i="14"/>
  <c r="J292" i="14"/>
  <c r="J303" i="14"/>
  <c r="J304" i="14"/>
  <c r="J302" i="14"/>
  <c r="J298" i="14"/>
  <c r="J293" i="14"/>
  <c r="J305" i="14"/>
  <c r="J300" i="14"/>
  <c r="J309" i="14"/>
  <c r="J295" i="14"/>
  <c r="N146" i="148"/>
  <c r="O146" i="148" s="1"/>
  <c r="I303" i="148"/>
  <c r="L303" i="148" s="1"/>
  <c r="F513" i="148"/>
  <c r="F630" i="148"/>
  <c r="N261" i="148"/>
  <c r="O261" i="148" s="1"/>
  <c r="J307" i="14"/>
  <c r="J296" i="14"/>
  <c r="J310" i="14"/>
  <c r="J294" i="14"/>
  <c r="J301" i="14"/>
  <c r="J308" i="14"/>
  <c r="J299" i="14"/>
  <c r="J288" i="14"/>
  <c r="J306" i="14"/>
  <c r="J290" i="14"/>
  <c r="I943" i="148"/>
  <c r="L943" i="148" s="1"/>
  <c r="N46" i="148"/>
  <c r="O46" i="148" s="1"/>
  <c r="I46" i="148"/>
  <c r="L46" i="148" s="1"/>
  <c r="N60" i="148"/>
  <c r="O60" i="148" s="1"/>
  <c r="I60" i="148"/>
  <c r="L60" i="148" s="1"/>
  <c r="N91" i="148"/>
  <c r="O91" i="148" s="1"/>
  <c r="I91" i="148"/>
  <c r="L91" i="148" s="1"/>
  <c r="N93" i="148"/>
  <c r="O93" i="148" s="1"/>
  <c r="I93" i="148"/>
  <c r="L93" i="148" s="1"/>
  <c r="N96" i="148"/>
  <c r="O96" i="148" s="1"/>
  <c r="I96" i="148"/>
  <c r="L96" i="148" s="1"/>
  <c r="N45" i="148"/>
  <c r="O45" i="148" s="1"/>
  <c r="I45" i="148"/>
  <c r="L45" i="148" s="1"/>
  <c r="N71" i="148"/>
  <c r="O71" i="148" s="1"/>
  <c r="I71" i="148"/>
  <c r="L71" i="148" s="1"/>
  <c r="N49" i="148"/>
  <c r="O49" i="148" s="1"/>
  <c r="I49" i="148"/>
  <c r="L49" i="148" s="1"/>
  <c r="N42" i="148"/>
  <c r="O42" i="148" s="1"/>
  <c r="I42" i="148"/>
  <c r="L42" i="148" s="1"/>
  <c r="N128" i="148"/>
  <c r="O128" i="148" s="1"/>
  <c r="I128" i="148"/>
  <c r="L128" i="148" s="1"/>
  <c r="L233" i="148"/>
  <c r="F561" i="148"/>
  <c r="I561" i="148" s="1"/>
  <c r="I25" i="148"/>
  <c r="L25" i="148" s="1"/>
  <c r="N25" i="148"/>
  <c r="O25" i="148" s="1"/>
  <c r="N14" i="148"/>
  <c r="O14" i="148" s="1"/>
  <c r="N92" i="148"/>
  <c r="O92" i="148" s="1"/>
  <c r="I29" i="148"/>
  <c r="L29" i="148" s="1"/>
  <c r="N29" i="148"/>
  <c r="O29" i="148" s="1"/>
  <c r="I616" i="148"/>
  <c r="L616" i="148" s="1"/>
  <c r="I479" i="148"/>
  <c r="L479" i="148" s="1"/>
  <c r="N479" i="148"/>
  <c r="O479" i="148" s="1"/>
  <c r="L447" i="148"/>
  <c r="N447" i="148"/>
  <c r="O447" i="148" s="1"/>
  <c r="N457" i="148"/>
  <c r="O457" i="148" s="1"/>
  <c r="L457" i="148"/>
  <c r="L444" i="148"/>
  <c r="N444" i="148"/>
  <c r="O444" i="148" s="1"/>
  <c r="L443" i="148"/>
  <c r="N443" i="148"/>
  <c r="O443" i="148" s="1"/>
  <c r="L474" i="148"/>
  <c r="N474" i="148"/>
  <c r="O474" i="148" s="1"/>
  <c r="F489" i="148"/>
  <c r="I489" i="148" s="1"/>
  <c r="F455" i="148"/>
  <c r="I455" i="148" s="1"/>
  <c r="F476" i="148"/>
  <c r="I476" i="148" s="1"/>
  <c r="F442" i="148"/>
  <c r="I442" i="148" s="1"/>
  <c r="F589" i="148"/>
  <c r="F619" i="148"/>
  <c r="F609" i="148"/>
  <c r="F576" i="148"/>
  <c r="F425" i="148"/>
  <c r="I425" i="148" s="1"/>
  <c r="L425" i="148" s="1"/>
  <c r="F480" i="148"/>
  <c r="F613" i="148"/>
  <c r="N613" i="148" s="1"/>
  <c r="O613" i="148" s="1"/>
  <c r="F446" i="148"/>
  <c r="I446" i="148" s="1"/>
  <c r="F580" i="148"/>
  <c r="N580" i="148" s="1"/>
  <c r="O580" i="148" s="1"/>
  <c r="L475" i="148"/>
  <c r="N475" i="148"/>
  <c r="O475" i="148" s="1"/>
  <c r="I478" i="148"/>
  <c r="L478" i="148" s="1"/>
  <c r="N478" i="148"/>
  <c r="O478" i="148" s="1"/>
  <c r="N464" i="148"/>
  <c r="O464" i="148" s="1"/>
  <c r="L464" i="148"/>
  <c r="N456" i="148"/>
  <c r="O456" i="148" s="1"/>
  <c r="L456" i="148"/>
  <c r="N483" i="148"/>
  <c r="O483" i="148" s="1"/>
  <c r="L483" i="148"/>
  <c r="L92" i="148"/>
  <c r="F97" i="148"/>
  <c r="F343" i="148"/>
  <c r="I343" i="148" s="1"/>
  <c r="F126" i="148"/>
  <c r="I126" i="148" s="1"/>
  <c r="O94" i="148"/>
  <c r="F130" i="148"/>
  <c r="I130" i="148" s="1"/>
  <c r="F100" i="148"/>
  <c r="I100" i="148" s="1"/>
  <c r="F122" i="148"/>
  <c r="I122" i="148" s="1"/>
  <c r="F90" i="148"/>
  <c r="I90" i="148" s="1"/>
  <c r="L123" i="148"/>
  <c r="N123" i="148"/>
  <c r="O123" i="148" s="1"/>
  <c r="L125" i="148"/>
  <c r="N125" i="148"/>
  <c r="O125" i="148" s="1"/>
  <c r="F33" i="148"/>
  <c r="N33" i="148" s="1"/>
  <c r="O33" i="148" s="1"/>
  <c r="F501" i="148"/>
  <c r="I501" i="148" s="1"/>
  <c r="L501" i="148" s="1"/>
  <c r="F106" i="148"/>
  <c r="I106" i="148" s="1"/>
  <c r="N341" i="148"/>
  <c r="O341" i="148" s="1"/>
  <c r="L341" i="148"/>
  <c r="F59" i="148"/>
  <c r="F28" i="148"/>
  <c r="H231" i="148"/>
  <c r="H172" i="148"/>
  <c r="K172" i="148" s="1"/>
  <c r="F171" i="148"/>
  <c r="J282" i="14"/>
  <c r="J280" i="14"/>
  <c r="J278" i="14"/>
  <c r="J157" i="14"/>
  <c r="J285" i="14"/>
  <c r="J271" i="14"/>
  <c r="J276" i="14"/>
  <c r="J269" i="14"/>
  <c r="J286" i="14"/>
  <c r="J268" i="14"/>
  <c r="J895" i="14"/>
  <c r="J274" i="14"/>
  <c r="J272" i="14"/>
  <c r="J270" i="14"/>
  <c r="J273" i="14"/>
  <c r="J283" i="14"/>
  <c r="J279" i="14"/>
  <c r="J281" i="14"/>
  <c r="J264" i="14"/>
  <c r="J277" i="14"/>
  <c r="J284" i="14"/>
  <c r="J877" i="14"/>
  <c r="J890" i="14"/>
  <c r="J893" i="14"/>
  <c r="J888" i="14"/>
  <c r="J879" i="14"/>
  <c r="J874" i="14"/>
  <c r="J885" i="14"/>
  <c r="J896" i="14"/>
  <c r="J880" i="14"/>
  <c r="J887" i="14"/>
  <c r="J871" i="14"/>
  <c r="J882" i="14"/>
  <c r="J876" i="14"/>
  <c r="J889" i="14"/>
  <c r="J881" i="14"/>
  <c r="J873" i="14"/>
  <c r="J892" i="14"/>
  <c r="J884" i="14"/>
  <c r="J872" i="14"/>
  <c r="J891" i="14"/>
  <c r="J883" i="14"/>
  <c r="J875" i="14"/>
  <c r="J894" i="14"/>
  <c r="J886" i="14"/>
  <c r="J878" i="14"/>
  <c r="J870" i="14"/>
  <c r="J357" i="14"/>
  <c r="J1419" i="14"/>
  <c r="J1421" i="14"/>
  <c r="J1417" i="14"/>
  <c r="J1423" i="14"/>
  <c r="J1411" i="14"/>
  <c r="J1433" i="14"/>
  <c r="J1414" i="14"/>
  <c r="J1410" i="14"/>
  <c r="J1425" i="14"/>
  <c r="J1426" i="14"/>
  <c r="J1430" i="14"/>
  <c r="J1424" i="14"/>
  <c r="J1407" i="14"/>
  <c r="J1436" i="14"/>
  <c r="J1429" i="14"/>
  <c r="J1435" i="14"/>
  <c r="J1434" i="14"/>
  <c r="J1422" i="14"/>
  <c r="J1416" i="14"/>
  <c r="J1431" i="14"/>
  <c r="J1415" i="14"/>
  <c r="J1412" i="14"/>
  <c r="J1432" i="14"/>
  <c r="J1418" i="14"/>
  <c r="J1428" i="14"/>
  <c r="J1420" i="14"/>
  <c r="J1413" i="14"/>
  <c r="J1408" i="14"/>
  <c r="J1427" i="14"/>
  <c r="J1409" i="14"/>
  <c r="J1364" i="14"/>
  <c r="J1374" i="14"/>
  <c r="J1366" i="14"/>
  <c r="J1369" i="14"/>
  <c r="J1378" i="14"/>
  <c r="J1360" i="14"/>
  <c r="J1365" i="14"/>
  <c r="J1372" i="14"/>
  <c r="J1361" i="14"/>
  <c r="J1373" i="14"/>
  <c r="J1371" i="14"/>
  <c r="J1370" i="14"/>
  <c r="J1362" i="14"/>
  <c r="J1379" i="14"/>
  <c r="J1363" i="14"/>
  <c r="J1375" i="14"/>
  <c r="J1377" i="14"/>
  <c r="J1482" i="14"/>
  <c r="J1476" i="14"/>
  <c r="J1467" i="14"/>
  <c r="J1485" i="14"/>
  <c r="J1465" i="14"/>
  <c r="J1473" i="14"/>
  <c r="J1480" i="14"/>
  <c r="J1474" i="14"/>
  <c r="J1466" i="14"/>
  <c r="J1483" i="14"/>
  <c r="J1478" i="14"/>
  <c r="J1463" i="14"/>
  <c r="J1472" i="14"/>
  <c r="J1486" i="14"/>
  <c r="J1479" i="14"/>
  <c r="J1471" i="14"/>
  <c r="J1484" i="14"/>
  <c r="J1475" i="14"/>
  <c r="J1468" i="14"/>
  <c r="J1477" i="14"/>
  <c r="J1481" i="14"/>
  <c r="J1469" i="14"/>
  <c r="J1470" i="14"/>
  <c r="J1464" i="14"/>
  <c r="J1367" i="14"/>
  <c r="J1368" i="14"/>
  <c r="J1359" i="14"/>
  <c r="J1376" i="14"/>
  <c r="J965" i="14"/>
  <c r="J971" i="14"/>
  <c r="J981" i="14"/>
  <c r="J974" i="14"/>
  <c r="J968" i="14"/>
  <c r="J957" i="14"/>
  <c r="J960" i="14"/>
  <c r="J975" i="14"/>
  <c r="J958" i="14"/>
  <c r="J979" i="14"/>
  <c r="J972" i="14"/>
  <c r="J959" i="14"/>
  <c r="J962" i="14"/>
  <c r="J961" i="14"/>
  <c r="J973" i="14"/>
  <c r="J976" i="14"/>
  <c r="J978" i="14"/>
  <c r="J966" i="14"/>
  <c r="J963" i="14"/>
  <c r="J983" i="14"/>
  <c r="J980" i="14"/>
  <c r="J964" i="14"/>
  <c r="J969" i="14"/>
  <c r="J982" i="14"/>
  <c r="J970" i="14"/>
  <c r="J967" i="14"/>
  <c r="J977" i="14"/>
  <c r="J344" i="14"/>
  <c r="J356" i="14"/>
  <c r="J347" i="14"/>
  <c r="J354" i="14"/>
  <c r="J159" i="14"/>
  <c r="J160" i="14"/>
  <c r="J142" i="14"/>
  <c r="J152" i="14"/>
  <c r="J143" i="14"/>
  <c r="J144" i="14"/>
  <c r="J154" i="14"/>
  <c r="J145" i="14"/>
  <c r="J161" i="14"/>
  <c r="J146" i="14"/>
  <c r="J156" i="14"/>
  <c r="J141" i="14"/>
  <c r="J148" i="14"/>
  <c r="J158" i="14"/>
  <c r="J139" i="14"/>
  <c r="J150" i="14"/>
  <c r="J147" i="14"/>
  <c r="J153" i="14"/>
  <c r="J138" i="14"/>
  <c r="J149" i="14"/>
  <c r="J155" i="14"/>
  <c r="J140" i="14"/>
  <c r="J151" i="14"/>
  <c r="G22" i="13"/>
  <c r="I22" i="13" s="1"/>
  <c r="J608" i="14"/>
  <c r="J610" i="14"/>
  <c r="J622" i="14"/>
  <c r="J617" i="14"/>
  <c r="J604" i="14"/>
  <c r="J613" i="14"/>
  <c r="J626" i="14"/>
  <c r="J603" i="14"/>
  <c r="J620" i="14"/>
  <c r="J611" i="14"/>
  <c r="J606" i="14"/>
  <c r="J619" i="14"/>
  <c r="J612" i="14"/>
  <c r="J621" i="14"/>
  <c r="J614" i="14"/>
  <c r="J609" i="14"/>
  <c r="J623" i="14"/>
  <c r="J607" i="14"/>
  <c r="J616" i="14"/>
  <c r="J605" i="14"/>
  <c r="J625" i="14"/>
  <c r="J618" i="14"/>
  <c r="J615" i="14"/>
  <c r="J624" i="14"/>
  <c r="H322" i="148"/>
  <c r="K322" i="148" s="1"/>
  <c r="I94" i="148"/>
  <c r="L94" i="148" s="1"/>
  <c r="F103" i="148"/>
  <c r="F681" i="148"/>
  <c r="I681" i="148" s="1"/>
  <c r="F151" i="148"/>
  <c r="I151" i="148" s="1"/>
  <c r="F952" i="148"/>
  <c r="F945" i="148"/>
  <c r="F695" i="148"/>
  <c r="F948" i="148"/>
  <c r="N195" i="148"/>
  <c r="O195" i="148" s="1"/>
  <c r="I195" i="148"/>
  <c r="L195" i="148" s="1"/>
  <c r="N611" i="148"/>
  <c r="O611" i="148" s="1"/>
  <c r="I611" i="148"/>
  <c r="L611" i="148" s="1"/>
  <c r="L135" i="148"/>
  <c r="N135" i="148"/>
  <c r="O135" i="148" s="1"/>
  <c r="N152" i="148"/>
  <c r="O152" i="148" s="1"/>
  <c r="L152" i="148"/>
  <c r="I608" i="148"/>
  <c r="L608" i="148" s="1"/>
  <c r="N608" i="148"/>
  <c r="O608" i="148" s="1"/>
  <c r="N372" i="148"/>
  <c r="O372" i="148" s="1"/>
  <c r="L372" i="148"/>
  <c r="N134" i="148"/>
  <c r="O134" i="148" s="1"/>
  <c r="L134" i="148"/>
  <c r="N639" i="148"/>
  <c r="O639" i="148" s="1"/>
  <c r="I639" i="148"/>
  <c r="L639" i="148" s="1"/>
  <c r="F51" i="148"/>
  <c r="N51" i="148" s="1"/>
  <c r="F17" i="148"/>
  <c r="N17" i="148" s="1"/>
  <c r="O48" i="148"/>
  <c r="I48" i="148"/>
  <c r="L48" i="148" s="1"/>
  <c r="I34" i="148"/>
  <c r="L34" i="148" s="1"/>
  <c r="O34" i="148"/>
  <c r="N402" i="148"/>
  <c r="O402" i="148" s="1"/>
  <c r="I402" i="148"/>
  <c r="L402" i="148" s="1"/>
  <c r="F663" i="148"/>
  <c r="F641" i="148"/>
  <c r="N640" i="148"/>
  <c r="O640" i="148" s="1"/>
  <c r="I640" i="148"/>
  <c r="L640" i="148" s="1"/>
  <c r="I15" i="148"/>
  <c r="L15" i="148" s="1"/>
  <c r="A15" i="148" s="1"/>
  <c r="O15" i="148"/>
  <c r="I870" i="148"/>
  <c r="L870" i="148" s="1"/>
  <c r="N870" i="148"/>
  <c r="O870" i="148" s="1"/>
  <c r="N591" i="148"/>
  <c r="O591" i="148" s="1"/>
  <c r="I591" i="148"/>
  <c r="L591" i="148" s="1"/>
  <c r="I612" i="148"/>
  <c r="L612" i="148" s="1"/>
  <c r="N612" i="148"/>
  <c r="O612" i="148" s="1"/>
  <c r="N687" i="148"/>
  <c r="O687" i="148" s="1"/>
  <c r="I687" i="148"/>
  <c r="L687" i="148" s="1"/>
  <c r="N853" i="148"/>
  <c r="O853" i="148" s="1"/>
  <c r="I853" i="148"/>
  <c r="L853" i="148" s="1"/>
  <c r="I691" i="148"/>
  <c r="L691" i="148" s="1"/>
  <c r="N691" i="148"/>
  <c r="O691" i="148" s="1"/>
  <c r="N664" i="148"/>
  <c r="O664" i="148" s="1"/>
  <c r="I664" i="148"/>
  <c r="L664" i="148" s="1"/>
  <c r="O16" i="148"/>
  <c r="I16" i="148"/>
  <c r="L16" i="148" s="1"/>
  <c r="N374" i="148"/>
  <c r="O374" i="148" s="1"/>
  <c r="I374" i="148"/>
  <c r="L374" i="148" s="1"/>
  <c r="I502" i="148"/>
  <c r="L502" i="148" s="1"/>
  <c r="N502" i="148"/>
  <c r="O502" i="148" s="1"/>
  <c r="I657" i="148"/>
  <c r="L657" i="148" s="1"/>
  <c r="N657" i="148"/>
  <c r="O657" i="148" s="1"/>
  <c r="N665" i="148"/>
  <c r="O665" i="148" s="1"/>
  <c r="I665" i="148"/>
  <c r="L665" i="148" s="1"/>
  <c r="I578" i="148"/>
  <c r="L578" i="148" s="1"/>
  <c r="N578" i="148"/>
  <c r="O578" i="148" s="1"/>
  <c r="N577" i="148"/>
  <c r="O577" i="148" s="1"/>
  <c r="I577" i="148"/>
  <c r="L577" i="148" s="1"/>
  <c r="N590" i="148"/>
  <c r="O590" i="148" s="1"/>
  <c r="I590" i="148"/>
  <c r="L590" i="148" s="1"/>
  <c r="I607" i="148"/>
  <c r="L607" i="148" s="1"/>
  <c r="N607" i="148"/>
  <c r="O607" i="148" s="1"/>
  <c r="I688" i="148"/>
  <c r="L688" i="148" s="1"/>
  <c r="N688" i="148"/>
  <c r="O688" i="148" s="1"/>
  <c r="N136" i="148"/>
  <c r="O136" i="148" s="1"/>
  <c r="L136" i="148"/>
  <c r="L153" i="148"/>
  <c r="N153" i="148"/>
  <c r="O153" i="148" s="1"/>
  <c r="N426" i="148"/>
  <c r="O426" i="148" s="1"/>
  <c r="I426" i="148"/>
  <c r="L426" i="148" s="1"/>
  <c r="I581" i="148"/>
  <c r="L581" i="148" s="1"/>
  <c r="N581" i="148"/>
  <c r="O581" i="148" s="1"/>
  <c r="N662" i="148"/>
  <c r="O662" i="148" s="1"/>
  <c r="I662" i="148"/>
  <c r="L662" i="148" s="1"/>
  <c r="N373" i="148"/>
  <c r="O373" i="148" s="1"/>
  <c r="I373" i="148"/>
  <c r="L373" i="148" s="1"/>
  <c r="N863" i="148"/>
  <c r="O863" i="148" s="1"/>
  <c r="I863" i="148"/>
  <c r="L863" i="148" s="1"/>
  <c r="N342" i="148"/>
  <c r="O342" i="148" s="1"/>
  <c r="L342" i="148"/>
  <c r="N862" i="148"/>
  <c r="O862" i="148" s="1"/>
  <c r="I862" i="148"/>
  <c r="L862" i="148" s="1"/>
  <c r="I690" i="148"/>
  <c r="L690" i="148" s="1"/>
  <c r="N690" i="148"/>
  <c r="O690" i="148" s="1"/>
  <c r="A7" i="14"/>
  <c r="L20" i="26"/>
  <c r="L10" i="26"/>
  <c r="L15" i="26" s="1"/>
  <c r="L16" i="26" s="1"/>
  <c r="L17" i="26" s="1"/>
  <c r="L18" i="26" s="1"/>
  <c r="J566" i="14" l="1"/>
  <c r="J574" i="14"/>
  <c r="J555" i="14"/>
  <c r="J559" i="14"/>
  <c r="J571" i="14"/>
  <c r="J564" i="14"/>
  <c r="J575" i="14"/>
  <c r="J560" i="14"/>
  <c r="J569" i="14"/>
  <c r="J568" i="14"/>
  <c r="J561" i="14"/>
  <c r="J554" i="14"/>
  <c r="J572" i="14"/>
  <c r="J576" i="14"/>
  <c r="J557" i="14"/>
  <c r="J563" i="14"/>
  <c r="J562" i="14"/>
  <c r="J565" i="14"/>
  <c r="J570" i="14"/>
  <c r="J558" i="14"/>
  <c r="J567" i="14"/>
  <c r="J553" i="14"/>
  <c r="J556" i="14"/>
  <c r="F618" i="148"/>
  <c r="N618" i="148" s="1"/>
  <c r="O618" i="148" s="1"/>
  <c r="I295" i="148"/>
  <c r="L295" i="148" s="1"/>
  <c r="N567" i="148"/>
  <c r="O567" i="148" s="1"/>
  <c r="F473" i="148"/>
  <c r="I473" i="148" s="1"/>
  <c r="L473" i="148" s="1"/>
  <c r="I847" i="148"/>
  <c r="L847" i="148" s="1"/>
  <c r="F208" i="148"/>
  <c r="I208" i="148" s="1"/>
  <c r="L208" i="148" s="1"/>
  <c r="F624" i="148"/>
  <c r="I624" i="148" s="1"/>
  <c r="L624" i="148" s="1"/>
  <c r="F588" i="148"/>
  <c r="N588" i="148" s="1"/>
  <c r="O588" i="148" s="1"/>
  <c r="F291" i="148"/>
  <c r="I291" i="148" s="1"/>
  <c r="L291" i="148" s="1"/>
  <c r="F445" i="148"/>
  <c r="I445" i="148" s="1"/>
  <c r="I694" i="148"/>
  <c r="L694" i="148" s="1"/>
  <c r="F680" i="148"/>
  <c r="I680" i="148" s="1"/>
  <c r="L680" i="148" s="1"/>
  <c r="N302" i="148"/>
  <c r="O302" i="148" s="1"/>
  <c r="I302" i="148"/>
  <c r="L302" i="148" s="1"/>
  <c r="I877" i="148"/>
  <c r="L877" i="148" s="1"/>
  <c r="F137" i="148"/>
  <c r="N137" i="148" s="1"/>
  <c r="O137" i="148" s="1"/>
  <c r="I876" i="148"/>
  <c r="L876" i="148" s="1"/>
  <c r="F148" i="148"/>
  <c r="N148" i="148" s="1"/>
  <c r="O148" i="148" s="1"/>
  <c r="N39" i="148"/>
  <c r="O39" i="148" s="1"/>
  <c r="N686" i="148"/>
  <c r="O686" i="148" s="1"/>
  <c r="N890" i="148"/>
  <c r="O890" i="148" s="1"/>
  <c r="N692" i="148"/>
  <c r="O692" i="148" s="1"/>
  <c r="I689" i="148"/>
  <c r="L689" i="148" s="1"/>
  <c r="F523" i="148"/>
  <c r="I523" i="148" s="1"/>
  <c r="L523" i="148" s="1"/>
  <c r="I530" i="148"/>
  <c r="L530" i="148" s="1"/>
  <c r="I653" i="148"/>
  <c r="L653" i="148" s="1"/>
  <c r="J1098" i="14"/>
  <c r="J1101" i="14" s="1"/>
  <c r="J601" i="14"/>
  <c r="J595" i="14"/>
  <c r="J594" i="14"/>
  <c r="J593" i="14"/>
  <c r="J592" i="14"/>
  <c r="J588" i="14"/>
  <c r="J583" i="14"/>
  <c r="J582" i="14"/>
  <c r="J580" i="14"/>
  <c r="J578" i="14"/>
  <c r="J598" i="14"/>
  <c r="J597" i="14"/>
  <c r="J596" i="14"/>
  <c r="J586" i="14"/>
  <c r="J584" i="14"/>
  <c r="J599" i="14"/>
  <c r="J590" i="14"/>
  <c r="J589" i="14"/>
  <c r="J587" i="14"/>
  <c r="J581" i="14"/>
  <c r="J579" i="14"/>
  <c r="J600" i="14"/>
  <c r="J591" i="14"/>
  <c r="J585" i="14"/>
  <c r="J548" i="14"/>
  <c r="J544" i="14"/>
  <c r="J533" i="14"/>
  <c r="J547" i="14"/>
  <c r="J532" i="14"/>
  <c r="J534" i="14"/>
  <c r="J549" i="14"/>
  <c r="J536" i="14"/>
  <c r="J537" i="14"/>
  <c r="J551" i="14"/>
  <c r="J550" i="14"/>
  <c r="J531" i="14"/>
  <c r="J535" i="14"/>
  <c r="J528" i="14"/>
  <c r="J540" i="14"/>
  <c r="J530" i="14"/>
  <c r="J538" i="14"/>
  <c r="J539" i="14"/>
  <c r="J543" i="14"/>
  <c r="J542" i="14"/>
  <c r="J541" i="14"/>
  <c r="J546" i="14"/>
  <c r="J545" i="14"/>
  <c r="A16" i="148"/>
  <c r="F86" i="148"/>
  <c r="N86" i="148" s="1"/>
  <c r="O86" i="148" s="1"/>
  <c r="F99" i="148"/>
  <c r="I99" i="148" s="1"/>
  <c r="L99" i="148" s="1"/>
  <c r="F512" i="148"/>
  <c r="N512" i="148" s="1"/>
  <c r="O512" i="148" s="1"/>
  <c r="F98" i="148"/>
  <c r="N98" i="148" s="1"/>
  <c r="O98" i="148" s="1"/>
  <c r="I846" i="148"/>
  <c r="L846" i="148" s="1"/>
  <c r="I438" i="148"/>
  <c r="L438" i="148" s="1"/>
  <c r="N405" i="148"/>
  <c r="O405" i="148" s="1"/>
  <c r="F241" i="148"/>
  <c r="N241" i="148" s="1"/>
  <c r="O241" i="148" s="1"/>
  <c r="F604" i="148"/>
  <c r="I604" i="148" s="1"/>
  <c r="L604" i="148" s="1"/>
  <c r="F575" i="148"/>
  <c r="N575" i="148" s="1"/>
  <c r="O575" i="148" s="1"/>
  <c r="F756" i="148"/>
  <c r="I756" i="148" s="1"/>
  <c r="L756" i="148" s="1"/>
  <c r="F732" i="148"/>
  <c r="F947" i="148"/>
  <c r="N947" i="148" s="1"/>
  <c r="O947" i="148" s="1"/>
  <c r="F677" i="148"/>
  <c r="N731" i="148"/>
  <c r="O731" i="148" s="1"/>
  <c r="I731" i="148"/>
  <c r="L731" i="148" s="1"/>
  <c r="F69" i="148"/>
  <c r="F866" i="148"/>
  <c r="I866" i="148" s="1"/>
  <c r="L866" i="148" s="1"/>
  <c r="F762" i="148"/>
  <c r="F880" i="148"/>
  <c r="F776" i="148"/>
  <c r="I828" i="148"/>
  <c r="L828" i="148" s="1"/>
  <c r="N828" i="148"/>
  <c r="O828" i="148" s="1"/>
  <c r="F875" i="148"/>
  <c r="I875" i="148" s="1"/>
  <c r="L875" i="148" s="1"/>
  <c r="F771" i="148"/>
  <c r="F807" i="148"/>
  <c r="F905" i="148"/>
  <c r="N737" i="148"/>
  <c r="O737" i="148" s="1"/>
  <c r="I737" i="148"/>
  <c r="I930" i="148"/>
  <c r="L930" i="148" s="1"/>
  <c r="N930" i="148"/>
  <c r="O930" i="148" s="1"/>
  <c r="N742" i="148"/>
  <c r="O742" i="148" s="1"/>
  <c r="I742" i="148"/>
  <c r="L742" i="148" s="1"/>
  <c r="I777" i="148"/>
  <c r="L777" i="148" s="1"/>
  <c r="N777" i="148"/>
  <c r="O777" i="148" s="1"/>
  <c r="N743" i="148"/>
  <c r="O743" i="148" s="1"/>
  <c r="I743" i="148"/>
  <c r="L743" i="148" s="1"/>
  <c r="F784" i="148"/>
  <c r="F888" i="148"/>
  <c r="N888" i="148" s="1"/>
  <c r="O888" i="148" s="1"/>
  <c r="F842" i="148"/>
  <c r="F738" i="148"/>
  <c r="I741" i="148"/>
  <c r="L741" i="148" s="1"/>
  <c r="N741" i="148"/>
  <c r="O741" i="148" s="1"/>
  <c r="N816" i="148"/>
  <c r="O816" i="148" s="1"/>
  <c r="I816" i="148"/>
  <c r="L816" i="148" s="1"/>
  <c r="I740" i="148"/>
  <c r="L740" i="148" s="1"/>
  <c r="N740" i="148"/>
  <c r="O740" i="148" s="1"/>
  <c r="F827" i="148"/>
  <c r="F825" i="148"/>
  <c r="F750" i="148"/>
  <c r="F854" i="148"/>
  <c r="N854" i="148" s="1"/>
  <c r="O854" i="148" s="1"/>
  <c r="F780" i="148"/>
  <c r="F774" i="148"/>
  <c r="F884" i="148"/>
  <c r="I884" i="148" s="1"/>
  <c r="L884" i="148" s="1"/>
  <c r="F878" i="148"/>
  <c r="N878" i="148" s="1"/>
  <c r="O878" i="148" s="1"/>
  <c r="I785" i="148"/>
  <c r="L785" i="148" s="1"/>
  <c r="N785" i="148"/>
  <c r="O785" i="148" s="1"/>
  <c r="I772" i="148"/>
  <c r="L772" i="148" s="1"/>
  <c r="N772" i="148"/>
  <c r="O772" i="148" s="1"/>
  <c r="I804" i="148"/>
  <c r="L804" i="148" s="1"/>
  <c r="N804" i="148"/>
  <c r="O804" i="148" s="1"/>
  <c r="I809" i="148"/>
  <c r="L809" i="148" s="1"/>
  <c r="N809" i="148"/>
  <c r="O809" i="148" s="1"/>
  <c r="N775" i="148"/>
  <c r="O775" i="148" s="1"/>
  <c r="I775" i="148"/>
  <c r="L775" i="148" s="1"/>
  <c r="M927" i="148"/>
  <c r="I927" i="148"/>
  <c r="L927" i="148" s="1"/>
  <c r="F808" i="148"/>
  <c r="F906" i="148"/>
  <c r="N763" i="148"/>
  <c r="O763" i="148" s="1"/>
  <c r="I763" i="148"/>
  <c r="L763" i="148" s="1"/>
  <c r="F348" i="148"/>
  <c r="I348" i="148" s="1"/>
  <c r="L348" i="148" s="1"/>
  <c r="F858" i="148"/>
  <c r="F754" i="148"/>
  <c r="I773" i="148"/>
  <c r="L773" i="148" s="1"/>
  <c r="N773" i="148"/>
  <c r="O773" i="148" s="1"/>
  <c r="N832" i="148"/>
  <c r="O832" i="148" s="1"/>
  <c r="I832" i="148"/>
  <c r="L832" i="148" s="1"/>
  <c r="N786" i="148"/>
  <c r="O786" i="148" s="1"/>
  <c r="I786" i="148"/>
  <c r="L786" i="148" s="1"/>
  <c r="I781" i="148"/>
  <c r="L781" i="148" s="1"/>
  <c r="N781" i="148"/>
  <c r="O781" i="148" s="1"/>
  <c r="N751" i="148"/>
  <c r="O751" i="148" s="1"/>
  <c r="I751" i="148"/>
  <c r="L751" i="148" s="1"/>
  <c r="I829" i="148"/>
  <c r="L829" i="148" s="1"/>
  <c r="M829" i="148"/>
  <c r="F246" i="148"/>
  <c r="N246" i="148" s="1"/>
  <c r="O246" i="148" s="1"/>
  <c r="F926" i="148"/>
  <c r="F923" i="148"/>
  <c r="F925" i="148"/>
  <c r="N907" i="148"/>
  <c r="O907" i="148" s="1"/>
  <c r="I907" i="148"/>
  <c r="L907" i="148" s="1"/>
  <c r="F651" i="148"/>
  <c r="N651" i="148" s="1"/>
  <c r="O651" i="148" s="1"/>
  <c r="F944" i="148"/>
  <c r="N944" i="148" s="1"/>
  <c r="O944" i="148" s="1"/>
  <c r="F867" i="148"/>
  <c r="F652" i="148"/>
  <c r="I652" i="148" s="1"/>
  <c r="L652" i="148" s="1"/>
  <c r="I365" i="148"/>
  <c r="L365" i="148" s="1"/>
  <c r="N101" i="148"/>
  <c r="O101" i="148" s="1"/>
  <c r="I728" i="148"/>
  <c r="L728" i="148" s="1"/>
  <c r="F411" i="148"/>
  <c r="N411" i="148" s="1"/>
  <c r="O411" i="148" s="1"/>
  <c r="F389" i="148"/>
  <c r="I389" i="148" s="1"/>
  <c r="L389" i="148" s="1"/>
  <c r="F707" i="148"/>
  <c r="F396" i="148"/>
  <c r="F714" i="148"/>
  <c r="I713" i="148"/>
  <c r="L713" i="148" s="1"/>
  <c r="N713" i="148"/>
  <c r="O713" i="148" s="1"/>
  <c r="F391" i="148"/>
  <c r="N391" i="148" s="1"/>
  <c r="O391" i="148" s="1"/>
  <c r="F709" i="148"/>
  <c r="F404" i="148"/>
  <c r="I404" i="148" s="1"/>
  <c r="L404" i="148" s="1"/>
  <c r="F410" i="148"/>
  <c r="I410" i="148" s="1"/>
  <c r="L410" i="148" s="1"/>
  <c r="F708" i="148"/>
  <c r="F390" i="148"/>
  <c r="N390" i="148" s="1"/>
  <c r="O390" i="148" s="1"/>
  <c r="N710" i="148"/>
  <c r="O710" i="148" s="1"/>
  <c r="I710" i="148"/>
  <c r="L710" i="148" s="1"/>
  <c r="F424" i="148"/>
  <c r="N424" i="148" s="1"/>
  <c r="O424" i="148" s="1"/>
  <c r="F400" i="148"/>
  <c r="N400" i="148" s="1"/>
  <c r="O400" i="148" s="1"/>
  <c r="F363" i="148"/>
  <c r="I363" i="148" s="1"/>
  <c r="L363" i="148" s="1"/>
  <c r="F698" i="148"/>
  <c r="F700" i="148"/>
  <c r="I700" i="148" s="1"/>
  <c r="L700" i="148" s="1"/>
  <c r="F702" i="148"/>
  <c r="N702" i="148" s="1"/>
  <c r="O702" i="148" s="1"/>
  <c r="F711" i="148"/>
  <c r="F393" i="148"/>
  <c r="I393" i="148" s="1"/>
  <c r="L393" i="148" s="1"/>
  <c r="I699" i="148"/>
  <c r="L699" i="148" s="1"/>
  <c r="N699" i="148"/>
  <c r="O699" i="148" s="1"/>
  <c r="F661" i="148"/>
  <c r="I661" i="148" s="1"/>
  <c r="L661" i="148" s="1"/>
  <c r="I150" i="148"/>
  <c r="L150" i="148" s="1"/>
  <c r="F510" i="148"/>
  <c r="I510" i="148" s="1"/>
  <c r="L510" i="148" s="1"/>
  <c r="F627" i="148"/>
  <c r="I627" i="148" s="1"/>
  <c r="L627" i="148" s="1"/>
  <c r="N310" i="148"/>
  <c r="O310" i="148" s="1"/>
  <c r="N24" i="148"/>
  <c r="O24" i="148" s="1"/>
  <c r="F605" i="148"/>
  <c r="N605" i="148" s="1"/>
  <c r="O605" i="148" s="1"/>
  <c r="F412" i="148"/>
  <c r="N316" i="148"/>
  <c r="O316" i="148" s="1"/>
  <c r="F27" i="148"/>
  <c r="I27" i="148" s="1"/>
  <c r="L27" i="148" s="1"/>
  <c r="F505" i="148"/>
  <c r="I505" i="148" s="1"/>
  <c r="L505" i="148" s="1"/>
  <c r="K17" i="227"/>
  <c r="K18" i="227" s="1"/>
  <c r="N685" i="148"/>
  <c r="O685" i="148" s="1"/>
  <c r="F323" i="148"/>
  <c r="I323" i="148" s="1"/>
  <c r="L323" i="148" s="1"/>
  <c r="I58" i="148"/>
  <c r="L58" i="148" s="1"/>
  <c r="F328" i="148"/>
  <c r="N330" i="148"/>
  <c r="O330" i="148" s="1"/>
  <c r="K330" i="148"/>
  <c r="K247" i="148" s="1"/>
  <c r="H9" i="26" s="1"/>
  <c r="J330" i="148"/>
  <c r="J247" i="148" s="1"/>
  <c r="H8" i="26" s="1"/>
  <c r="J649" i="14"/>
  <c r="J631" i="14"/>
  <c r="J632" i="14"/>
  <c r="J642" i="14"/>
  <c r="J640" i="14"/>
  <c r="J648" i="14"/>
  <c r="J637" i="14"/>
  <c r="J636" i="14"/>
  <c r="J647" i="14"/>
  <c r="J629" i="14"/>
  <c r="J635" i="14"/>
  <c r="J634" i="14"/>
  <c r="J638" i="14"/>
  <c r="J643" i="14"/>
  <c r="J639" i="14"/>
  <c r="J630" i="14"/>
  <c r="J646" i="14"/>
  <c r="J628" i="14"/>
  <c r="J633" i="14"/>
  <c r="J644" i="14"/>
  <c r="J641" i="14"/>
  <c r="F841" i="148"/>
  <c r="N841" i="148" s="1"/>
  <c r="O841" i="148" s="1"/>
  <c r="F860" i="148"/>
  <c r="N860" i="148" s="1"/>
  <c r="O860" i="148" s="1"/>
  <c r="H1610" i="14"/>
  <c r="H1611" i="14" s="1"/>
  <c r="H1583" i="14" s="1"/>
  <c r="F41" i="13" s="1"/>
  <c r="G41" i="13" s="1"/>
  <c r="G31" i="13" s="1"/>
  <c r="I31" i="13" s="1"/>
  <c r="J34" i="14"/>
  <c r="J35" i="14"/>
  <c r="J30" i="14"/>
  <c r="N290" i="148"/>
  <c r="O290" i="148" s="1"/>
  <c r="F524" i="148"/>
  <c r="I524" i="148" s="1"/>
  <c r="L524" i="148" s="1"/>
  <c r="N566" i="148"/>
  <c r="O566" i="148" s="1"/>
  <c r="N626" i="148"/>
  <c r="O626" i="148" s="1"/>
  <c r="I626" i="148"/>
  <c r="L626" i="148" s="1"/>
  <c r="N301" i="148"/>
  <c r="O301" i="148" s="1"/>
  <c r="I301" i="148"/>
  <c r="L301" i="148" s="1"/>
  <c r="N207" i="148"/>
  <c r="O207" i="148" s="1"/>
  <c r="I207" i="148"/>
  <c r="L207" i="148" s="1"/>
  <c r="N149" i="148"/>
  <c r="O149" i="148" s="1"/>
  <c r="I149" i="148"/>
  <c r="L149" i="148" s="1"/>
  <c r="I509" i="148"/>
  <c r="L509" i="148" s="1"/>
  <c r="N509" i="148"/>
  <c r="O509" i="148" s="1"/>
  <c r="I347" i="148"/>
  <c r="L347" i="148" s="1"/>
  <c r="N347" i="148"/>
  <c r="O347" i="148" s="1"/>
  <c r="N902" i="148"/>
  <c r="O902" i="148" s="1"/>
  <c r="I902" i="148"/>
  <c r="L902" i="148" s="1"/>
  <c r="N358" i="148"/>
  <c r="O358" i="148" s="1"/>
  <c r="I358" i="148"/>
  <c r="L358" i="148" s="1"/>
  <c r="F105" i="148"/>
  <c r="N105" i="148" s="1"/>
  <c r="O105" i="148" s="1"/>
  <c r="F350" i="148"/>
  <c r="I350" i="148" s="1"/>
  <c r="L350" i="148" s="1"/>
  <c r="J249" i="14"/>
  <c r="J250" i="14"/>
  <c r="J255" i="14"/>
  <c r="J244" i="14"/>
  <c r="J252" i="14"/>
  <c r="J256" i="14"/>
  <c r="J240" i="14"/>
  <c r="J257" i="14"/>
  <c r="J260" i="14"/>
  <c r="J254" i="14"/>
  <c r="J247" i="14"/>
  <c r="J258" i="14"/>
  <c r="J262" i="14"/>
  <c r="J253" i="14"/>
  <c r="J246" i="14"/>
  <c r="J241" i="14"/>
  <c r="J259" i="14"/>
  <c r="J245" i="14"/>
  <c r="J242" i="14"/>
  <c r="J243" i="14"/>
  <c r="J248" i="14"/>
  <c r="J251" i="14"/>
  <c r="J261" i="14"/>
  <c r="F437" i="148"/>
  <c r="N437" i="148" s="1"/>
  <c r="O437" i="148" s="1"/>
  <c r="N312" i="148"/>
  <c r="O312" i="148" s="1"/>
  <c r="N392" i="148"/>
  <c r="O392" i="148" s="1"/>
  <c r="F518" i="148"/>
  <c r="I518" i="148" s="1"/>
  <c r="F102" i="148"/>
  <c r="I102" i="148" s="1"/>
  <c r="L102" i="148" s="1"/>
  <c r="I156" i="148"/>
  <c r="L156" i="148" s="1"/>
  <c r="F471" i="148"/>
  <c r="I471" i="148" s="1"/>
  <c r="L471" i="148" s="1"/>
  <c r="F488" i="148"/>
  <c r="I488" i="148" s="1"/>
  <c r="L488" i="148" s="1"/>
  <c r="F441" i="148"/>
  <c r="I441" i="148" s="1"/>
  <c r="L441" i="148" s="1"/>
  <c r="I959" i="148"/>
  <c r="L959" i="148" s="1"/>
  <c r="F629" i="148"/>
  <c r="N629" i="148" s="1"/>
  <c r="O629" i="148" s="1"/>
  <c r="F628" i="148"/>
  <c r="I628" i="148" s="1"/>
  <c r="L628" i="148" s="1"/>
  <c r="F570" i="148"/>
  <c r="I570" i="148" s="1"/>
  <c r="L570" i="148" s="1"/>
  <c r="F548" i="148"/>
  <c r="N548" i="148" s="1"/>
  <c r="O548" i="148" s="1"/>
  <c r="J40" i="14"/>
  <c r="J1112" i="14"/>
  <c r="J26" i="14"/>
  <c r="J22" i="14"/>
  <c r="J29" i="14"/>
  <c r="J25" i="14"/>
  <c r="A10" i="13"/>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J33" i="14"/>
  <c r="J37" i="14"/>
  <c r="N378" i="148"/>
  <c r="O378" i="148" s="1"/>
  <c r="I378" i="148"/>
  <c r="L378" i="148" s="1"/>
  <c r="J24" i="14"/>
  <c r="J32" i="14"/>
  <c r="J36" i="14"/>
  <c r="J28" i="14"/>
  <c r="J27" i="14"/>
  <c r="J41" i="14"/>
  <c r="J38" i="14"/>
  <c r="J39" i="14"/>
  <c r="J23" i="14"/>
  <c r="G7" i="13"/>
  <c r="I7" i="13" s="1"/>
  <c r="I315" i="148"/>
  <c r="L315" i="148" s="1"/>
  <c r="N313" i="148"/>
  <c r="O313" i="148" s="1"/>
  <c r="I317" i="148"/>
  <c r="L317" i="148" s="1"/>
  <c r="I314" i="148"/>
  <c r="L314" i="148" s="1"/>
  <c r="N311" i="148"/>
  <c r="O311" i="148" s="1"/>
  <c r="F368" i="148"/>
  <c r="F327" i="148"/>
  <c r="I327" i="148" s="1"/>
  <c r="L327" i="148" s="1"/>
  <c r="F284" i="148"/>
  <c r="N284" i="148" s="1"/>
  <c r="P26" i="49"/>
  <c r="N658" i="148"/>
  <c r="O658" i="148" s="1"/>
  <c r="N132" i="148"/>
  <c r="O132" i="148" s="1"/>
  <c r="F704" i="148"/>
  <c r="F683" i="148"/>
  <c r="F697" i="148"/>
  <c r="N55" i="148"/>
  <c r="O55" i="148" s="1"/>
  <c r="I55" i="148"/>
  <c r="L55" i="148" s="1"/>
  <c r="F431" i="148"/>
  <c r="F362" i="148"/>
  <c r="F369" i="148"/>
  <c r="F353" i="148"/>
  <c r="F436" i="148"/>
  <c r="N436" i="148" s="1"/>
  <c r="O436" i="148" s="1"/>
  <c r="N364" i="148"/>
  <c r="O364" i="148" s="1"/>
  <c r="I364" i="148"/>
  <c r="L364" i="148" s="1"/>
  <c r="F147" i="148"/>
  <c r="F108" i="148"/>
  <c r="F671" i="148"/>
  <c r="F645" i="148"/>
  <c r="F672" i="148"/>
  <c r="F646" i="148"/>
  <c r="F673" i="148"/>
  <c r="N673" i="148" s="1"/>
  <c r="F647" i="148"/>
  <c r="F679" i="148"/>
  <c r="I679" i="148" s="1"/>
  <c r="I958" i="148"/>
  <c r="L958" i="148" s="1"/>
  <c r="N958" i="148"/>
  <c r="O958" i="148" s="1"/>
  <c r="N218" i="148"/>
  <c r="O218" i="148" s="1"/>
  <c r="I218" i="148"/>
  <c r="L218" i="148" s="1"/>
  <c r="F469" i="148"/>
  <c r="F634" i="148"/>
  <c r="F620" i="148"/>
  <c r="F459" i="148"/>
  <c r="F113" i="148"/>
  <c r="F482" i="148"/>
  <c r="F490" i="148"/>
  <c r="F615" i="148"/>
  <c r="F593" i="148"/>
  <c r="N177" i="148"/>
  <c r="O177" i="148" s="1"/>
  <c r="I177" i="148"/>
  <c r="L177" i="148" s="1"/>
  <c r="F212" i="148"/>
  <c r="F614" i="148"/>
  <c r="F481" i="148"/>
  <c r="N881" i="148"/>
  <c r="O881" i="148" s="1"/>
  <c r="I881" i="148"/>
  <c r="L881" i="148" s="1"/>
  <c r="I235" i="148"/>
  <c r="L235" i="148" s="1"/>
  <c r="N235" i="148"/>
  <c r="O235" i="148" s="1"/>
  <c r="N914" i="148"/>
  <c r="O914" i="148" s="1"/>
  <c r="I914" i="148"/>
  <c r="I563" i="148"/>
  <c r="L563" i="148" s="1"/>
  <c r="N563" i="148"/>
  <c r="O563" i="148" s="1"/>
  <c r="N109" i="148"/>
  <c r="O109" i="148" s="1"/>
  <c r="I109" i="148"/>
  <c r="L109" i="148" s="1"/>
  <c r="F322" i="148"/>
  <c r="I322" i="148" s="1"/>
  <c r="L322" i="148" s="1"/>
  <c r="I116" i="148"/>
  <c r="L116" i="148" s="1"/>
  <c r="N116" i="148"/>
  <c r="O116" i="148" s="1"/>
  <c r="I219" i="148"/>
  <c r="L219" i="148" s="1"/>
  <c r="N219" i="148"/>
  <c r="O219" i="148" s="1"/>
  <c r="I408" i="148"/>
  <c r="L408" i="148" s="1"/>
  <c r="N408" i="148"/>
  <c r="O408" i="148" s="1"/>
  <c r="N845" i="148"/>
  <c r="O845" i="148" s="1"/>
  <c r="I33" i="148"/>
  <c r="L33" i="148" s="1"/>
  <c r="I401" i="148"/>
  <c r="L401" i="148" s="1"/>
  <c r="J1106" i="14"/>
  <c r="J1102" i="14"/>
  <c r="J1105" i="14"/>
  <c r="J1104" i="14"/>
  <c r="J1107" i="14"/>
  <c r="J1111" i="14"/>
  <c r="J1109" i="14"/>
  <c r="G8" i="13"/>
  <c r="N511" i="148"/>
  <c r="O511" i="148" s="1"/>
  <c r="I511" i="148"/>
  <c r="L511" i="148" s="1"/>
  <c r="I512" i="148"/>
  <c r="L512" i="148" s="1"/>
  <c r="N513" i="148"/>
  <c r="O513" i="148" s="1"/>
  <c r="I513" i="148"/>
  <c r="L513" i="148" s="1"/>
  <c r="I580" i="148"/>
  <c r="L580" i="148" s="1"/>
  <c r="I413" i="148"/>
  <c r="N425" i="148"/>
  <c r="O425" i="148" s="1"/>
  <c r="I606" i="148"/>
  <c r="L606" i="148" s="1"/>
  <c r="N59" i="148"/>
  <c r="O59" i="148" s="1"/>
  <c r="I59" i="148"/>
  <c r="L59" i="148" s="1"/>
  <c r="N97" i="148"/>
  <c r="O97" i="148" s="1"/>
  <c r="I97" i="148"/>
  <c r="L97" i="148" s="1"/>
  <c r="N103" i="148"/>
  <c r="O103" i="148" s="1"/>
  <c r="I103" i="148"/>
  <c r="L103" i="148" s="1"/>
  <c r="I171" i="148"/>
  <c r="L171" i="148" s="1"/>
  <c r="N343" i="148"/>
  <c r="O343" i="148" s="1"/>
  <c r="L343" i="148"/>
  <c r="F560" i="148"/>
  <c r="I560" i="148" s="1"/>
  <c r="F232" i="148"/>
  <c r="N232" i="148" s="1"/>
  <c r="O232" i="148" s="1"/>
  <c r="L561" i="148"/>
  <c r="N561" i="148"/>
  <c r="O561" i="148" s="1"/>
  <c r="L104" i="148"/>
  <c r="N104" i="148"/>
  <c r="O104" i="148" s="1"/>
  <c r="I28" i="148"/>
  <c r="L28" i="148" s="1"/>
  <c r="N28" i="148"/>
  <c r="O28" i="148" s="1"/>
  <c r="L106" i="148"/>
  <c r="N106" i="148"/>
  <c r="O106" i="148" s="1"/>
  <c r="L90" i="148"/>
  <c r="N90" i="148"/>
  <c r="O90" i="148" s="1"/>
  <c r="L100" i="148"/>
  <c r="N100" i="148"/>
  <c r="O100" i="148" s="1"/>
  <c r="N446" i="148"/>
  <c r="O446" i="148" s="1"/>
  <c r="L446" i="148"/>
  <c r="I480" i="148"/>
  <c r="L480" i="148" s="1"/>
  <c r="N480" i="148"/>
  <c r="O480" i="148" s="1"/>
  <c r="N442" i="148"/>
  <c r="O442" i="148" s="1"/>
  <c r="L442" i="148"/>
  <c r="L455" i="148"/>
  <c r="N455" i="148"/>
  <c r="O455" i="148" s="1"/>
  <c r="L472" i="148"/>
  <c r="N472" i="148"/>
  <c r="O472" i="148" s="1"/>
  <c r="L454" i="148"/>
  <c r="N454" i="148"/>
  <c r="O454" i="148" s="1"/>
  <c r="L476" i="148"/>
  <c r="N476" i="148"/>
  <c r="O476" i="148" s="1"/>
  <c r="N489" i="148"/>
  <c r="O489" i="148" s="1"/>
  <c r="L489" i="148"/>
  <c r="N501" i="148"/>
  <c r="O501" i="148" s="1"/>
  <c r="I613" i="148"/>
  <c r="L613" i="148" s="1"/>
  <c r="N889" i="148"/>
  <c r="O889" i="148" s="1"/>
  <c r="N171" i="148"/>
  <c r="O171" i="148" s="1"/>
  <c r="N126" i="148"/>
  <c r="O126" i="148" s="1"/>
  <c r="L126" i="148"/>
  <c r="L118" i="148"/>
  <c r="N118" i="148"/>
  <c r="O118" i="148" s="1"/>
  <c r="N129" i="148"/>
  <c r="O129" i="148" s="1"/>
  <c r="L129" i="148"/>
  <c r="L122" i="148"/>
  <c r="N122" i="148"/>
  <c r="O122" i="148" s="1"/>
  <c r="N130" i="148"/>
  <c r="O130" i="148" s="1"/>
  <c r="L130" i="148"/>
  <c r="N951" i="148"/>
  <c r="O951" i="148" s="1"/>
  <c r="N172" i="148"/>
  <c r="O172" i="148" s="1"/>
  <c r="L172" i="148"/>
  <c r="K231" i="148"/>
  <c r="L231" i="148" s="1"/>
  <c r="N231" i="148"/>
  <c r="O231" i="148" s="1"/>
  <c r="J679" i="14"/>
  <c r="J686" i="14"/>
  <c r="J676" i="14"/>
  <c r="J681" i="14"/>
  <c r="J688" i="14"/>
  <c r="J687" i="14"/>
  <c r="J680" i="14"/>
  <c r="J684" i="14"/>
  <c r="J692" i="14"/>
  <c r="J693" i="14"/>
  <c r="J694" i="14"/>
  <c r="J682" i="14"/>
  <c r="J689" i="14"/>
  <c r="J678" i="14"/>
  <c r="J674" i="14"/>
  <c r="J691" i="14"/>
  <c r="J677" i="14"/>
  <c r="J685" i="14"/>
  <c r="J695" i="14"/>
  <c r="J690" i="14"/>
  <c r="J675" i="14"/>
  <c r="J683" i="14"/>
  <c r="N641" i="148"/>
  <c r="O641" i="148" s="1"/>
  <c r="I641" i="148"/>
  <c r="L641" i="148" s="1"/>
  <c r="I576" i="148"/>
  <c r="L576" i="148" s="1"/>
  <c r="N576" i="148"/>
  <c r="O576" i="148" s="1"/>
  <c r="I885" i="148"/>
  <c r="L885" i="148" s="1"/>
  <c r="N885" i="148"/>
  <c r="O885" i="148" s="1"/>
  <c r="I701" i="148"/>
  <c r="L701" i="148" s="1"/>
  <c r="N701" i="148"/>
  <c r="O701" i="148" s="1"/>
  <c r="L681" i="148"/>
  <c r="N681" i="148"/>
  <c r="O681" i="148" s="1"/>
  <c r="N395" i="148"/>
  <c r="O395" i="148" s="1"/>
  <c r="L395" i="148"/>
  <c r="N663" i="148"/>
  <c r="O663" i="148" s="1"/>
  <c r="I663" i="148"/>
  <c r="L663" i="148" s="1"/>
  <c r="O17" i="148"/>
  <c r="I17" i="148"/>
  <c r="L17" i="148" s="1"/>
  <c r="A17" i="148" s="1"/>
  <c r="A18" i="148" s="1"/>
  <c r="A19" i="148" s="1"/>
  <c r="A20" i="148" s="1"/>
  <c r="A21" i="148" s="1"/>
  <c r="A22" i="148" s="1"/>
  <c r="A23" i="148" s="1"/>
  <c r="A24" i="148" s="1"/>
  <c r="A25" i="148" s="1"/>
  <c r="A26" i="148" s="1"/>
  <c r="I589" i="148"/>
  <c r="L589" i="148" s="1"/>
  <c r="N589" i="148"/>
  <c r="O589" i="148" s="1"/>
  <c r="I619" i="148"/>
  <c r="L619" i="148" s="1"/>
  <c r="N619" i="148"/>
  <c r="O619" i="148" s="1"/>
  <c r="N952" i="148"/>
  <c r="O952" i="148" s="1"/>
  <c r="I952" i="148"/>
  <c r="L952" i="148" s="1"/>
  <c r="N609" i="148"/>
  <c r="O609" i="148" s="1"/>
  <c r="I609" i="148"/>
  <c r="L609" i="148" s="1"/>
  <c r="N855" i="148"/>
  <c r="O855" i="148" s="1"/>
  <c r="I855" i="148"/>
  <c r="L855" i="148" s="1"/>
  <c r="I215" i="148"/>
  <c r="L215" i="148" s="1"/>
  <c r="N215" i="148"/>
  <c r="O215" i="148" s="1"/>
  <c r="I51" i="148"/>
  <c r="L51" i="148" s="1"/>
  <c r="O51" i="148"/>
  <c r="N948" i="148"/>
  <c r="O948" i="148" s="1"/>
  <c r="I948" i="148"/>
  <c r="L948" i="148" s="1"/>
  <c r="N879" i="148"/>
  <c r="O879" i="148" s="1"/>
  <c r="I879" i="148"/>
  <c r="L879" i="148" s="1"/>
  <c r="N703" i="148"/>
  <c r="O703" i="148" s="1"/>
  <c r="I703" i="148"/>
  <c r="L703" i="148" s="1"/>
  <c r="I630" i="148"/>
  <c r="L630" i="148" s="1"/>
  <c r="N630" i="148"/>
  <c r="O630" i="148" s="1"/>
  <c r="I695" i="148"/>
  <c r="L695" i="148" s="1"/>
  <c r="N695" i="148"/>
  <c r="O695" i="148" s="1"/>
  <c r="N945" i="148"/>
  <c r="O945" i="148" s="1"/>
  <c r="I945" i="148"/>
  <c r="L945" i="148" s="1"/>
  <c r="L151" i="148"/>
  <c r="N151" i="148"/>
  <c r="O151" i="148" s="1"/>
  <c r="N844" i="148"/>
  <c r="O844" i="148" s="1"/>
  <c r="I844" i="148"/>
  <c r="L844" i="148" s="1"/>
  <c r="J223" i="14"/>
  <c r="J235" i="14"/>
  <c r="J222" i="14"/>
  <c r="J226" i="14"/>
  <c r="J228" i="14"/>
  <c r="J225" i="14"/>
  <c r="J217" i="14"/>
  <c r="J218" i="14"/>
  <c r="J230" i="14"/>
  <c r="J216" i="14"/>
  <c r="J227" i="14"/>
  <c r="J221" i="14"/>
  <c r="J231" i="14"/>
  <c r="J236" i="14"/>
  <c r="J219" i="14"/>
  <c r="J224" i="14"/>
  <c r="J220" i="14"/>
  <c r="J232" i="14"/>
  <c r="J233" i="14"/>
  <c r="J238" i="14"/>
  <c r="J237" i="14"/>
  <c r="J234" i="14"/>
  <c r="J229" i="14"/>
  <c r="J9" i="14"/>
  <c r="J13" i="14"/>
  <c r="J10" i="14"/>
  <c r="J8" i="14"/>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A357" i="14" s="1"/>
  <c r="A358" i="14" s="1"/>
  <c r="A359" i="14" s="1"/>
  <c r="A360" i="14" s="1"/>
  <c r="A361" i="14" s="1"/>
  <c r="A362" i="14" s="1"/>
  <c r="A363" i="14" s="1"/>
  <c r="A364" i="14" s="1"/>
  <c r="A365" i="14" s="1"/>
  <c r="A366" i="14" s="1"/>
  <c r="A367" i="14" s="1"/>
  <c r="A368" i="14" s="1"/>
  <c r="A369" i="14" s="1"/>
  <c r="A370" i="14" s="1"/>
  <c r="A371" i="14" s="1"/>
  <c r="A372" i="14" s="1"/>
  <c r="A373" i="14" s="1"/>
  <c r="A374" i="14" s="1"/>
  <c r="A375" i="14" s="1"/>
  <c r="A376" i="14" s="1"/>
  <c r="A377" i="14" s="1"/>
  <c r="A378" i="14" s="1"/>
  <c r="A379" i="14" s="1"/>
  <c r="A380" i="14" s="1"/>
  <c r="A381" i="14" s="1"/>
  <c r="A382" i="14" s="1"/>
  <c r="A383" i="14" s="1"/>
  <c r="A384" i="14" s="1"/>
  <c r="A385" i="14" s="1"/>
  <c r="A386" i="14" s="1"/>
  <c r="A387" i="14" s="1"/>
  <c r="A388" i="14" s="1"/>
  <c r="A389" i="14" s="1"/>
  <c r="A390" i="14" s="1"/>
  <c r="A391" i="14" s="1"/>
  <c r="A392" i="14" s="1"/>
  <c r="A393" i="14" s="1"/>
  <c r="A394" i="14" s="1"/>
  <c r="A395" i="14" s="1"/>
  <c r="A396" i="14" s="1"/>
  <c r="A397" i="14" s="1"/>
  <c r="A398" i="14" s="1"/>
  <c r="A399" i="14" s="1"/>
  <c r="A400" i="14" s="1"/>
  <c r="A401" i="14" s="1"/>
  <c r="A402" i="14" s="1"/>
  <c r="A403" i="14" s="1"/>
  <c r="A404" i="14" s="1"/>
  <c r="A405" i="14" s="1"/>
  <c r="A406" i="14" s="1"/>
  <c r="A407" i="14" s="1"/>
  <c r="A408" i="14" s="1"/>
  <c r="A409" i="14" s="1"/>
  <c r="A410" i="14" s="1"/>
  <c r="A411" i="14" s="1"/>
  <c r="A412" i="14" s="1"/>
  <c r="A413" i="14" s="1"/>
  <c r="A414" i="14" s="1"/>
  <c r="A415" i="14" s="1"/>
  <c r="A416" i="14" s="1"/>
  <c r="A417" i="14" s="1"/>
  <c r="A418" i="14" s="1"/>
  <c r="A419" i="14" s="1"/>
  <c r="A420" i="14" s="1"/>
  <c r="A421" i="14" s="1"/>
  <c r="A422" i="14" s="1"/>
  <c r="A423" i="14" s="1"/>
  <c r="A424" i="14" s="1"/>
  <c r="A425" i="14" s="1"/>
  <c r="A426" i="14" s="1"/>
  <c r="A427" i="14" s="1"/>
  <c r="A428" i="14" s="1"/>
  <c r="A429" i="14" s="1"/>
  <c r="A430" i="14" s="1"/>
  <c r="A431" i="14" s="1"/>
  <c r="A432" i="14" s="1"/>
  <c r="A433" i="14" s="1"/>
  <c r="A434" i="14" s="1"/>
  <c r="A435" i="14" s="1"/>
  <c r="A436" i="14" s="1"/>
  <c r="A437" i="14" s="1"/>
  <c r="A438" i="14" s="1"/>
  <c r="A439" i="14" s="1"/>
  <c r="A440" i="14" s="1"/>
  <c r="A441" i="14" s="1"/>
  <c r="A442" i="14" s="1"/>
  <c r="A443" i="14" s="1"/>
  <c r="A444" i="14" s="1"/>
  <c r="A445" i="14" s="1"/>
  <c r="A446" i="14" s="1"/>
  <c r="A447" i="14" s="1"/>
  <c r="A448" i="14" s="1"/>
  <c r="A449" i="14" s="1"/>
  <c r="A450" i="14" s="1"/>
  <c r="A451" i="14" s="1"/>
  <c r="A452" i="14" s="1"/>
  <c r="A453" i="14" s="1"/>
  <c r="A454" i="14" s="1"/>
  <c r="A455" i="14" s="1"/>
  <c r="A456" i="14" s="1"/>
  <c r="A457" i="14" s="1"/>
  <c r="A458" i="14" s="1"/>
  <c r="A459" i="14" s="1"/>
  <c r="A460" i="14" s="1"/>
  <c r="A461" i="14" s="1"/>
  <c r="A462" i="14" s="1"/>
  <c r="A463" i="14" s="1"/>
  <c r="A464" i="14" s="1"/>
  <c r="A465" i="14" s="1"/>
  <c r="A466" i="14" s="1"/>
  <c r="A467" i="14" s="1"/>
  <c r="A468" i="14" s="1"/>
  <c r="A469" i="14" s="1"/>
  <c r="A470" i="14" s="1"/>
  <c r="A471" i="14" s="1"/>
  <c r="A472" i="14" s="1"/>
  <c r="A473" i="14" s="1"/>
  <c r="A474" i="14" s="1"/>
  <c r="A475" i="14" s="1"/>
  <c r="A476" i="14" s="1"/>
  <c r="A477" i="14" s="1"/>
  <c r="A478" i="14" s="1"/>
  <c r="A479" i="14" s="1"/>
  <c r="A480" i="14" s="1"/>
  <c r="A481" i="14" s="1"/>
  <c r="A482" i="14" s="1"/>
  <c r="A483" i="14" s="1"/>
  <c r="A484" i="14" s="1"/>
  <c r="A485" i="14" s="1"/>
  <c r="A486" i="14" s="1"/>
  <c r="A487" i="14" s="1"/>
  <c r="A488" i="14" s="1"/>
  <c r="A489" i="14" s="1"/>
  <c r="A490" i="14" s="1"/>
  <c r="A491" i="14" s="1"/>
  <c r="A492" i="14" s="1"/>
  <c r="A493" i="14" s="1"/>
  <c r="A494" i="14" s="1"/>
  <c r="A495" i="14" s="1"/>
  <c r="A496" i="14" s="1"/>
  <c r="A497" i="14" s="1"/>
  <c r="A498" i="14" s="1"/>
  <c r="A499" i="14" s="1"/>
  <c r="A500" i="14" s="1"/>
  <c r="A501" i="14" s="1"/>
  <c r="A502" i="14" s="1"/>
  <c r="A503" i="14" s="1"/>
  <c r="A504" i="14" s="1"/>
  <c r="A505" i="14" s="1"/>
  <c r="A506" i="14" s="1"/>
  <c r="A507" i="14" s="1"/>
  <c r="A508" i="14" s="1"/>
  <c r="A509" i="14" s="1"/>
  <c r="A510" i="14" s="1"/>
  <c r="A511" i="14" s="1"/>
  <c r="A512" i="14" s="1"/>
  <c r="A513" i="14" s="1"/>
  <c r="A514" i="14" s="1"/>
  <c r="A515" i="14" s="1"/>
  <c r="A516" i="14" s="1"/>
  <c r="A517" i="14" s="1"/>
  <c r="A518" i="14" s="1"/>
  <c r="A519" i="14" s="1"/>
  <c r="A520" i="14" s="1"/>
  <c r="A521" i="14" s="1"/>
  <c r="A522" i="14" s="1"/>
  <c r="A523" i="14" s="1"/>
  <c r="A524" i="14" s="1"/>
  <c r="A525" i="14" s="1"/>
  <c r="A526" i="14" s="1"/>
  <c r="A527" i="14" s="1"/>
  <c r="A528" i="14" s="1"/>
  <c r="A529" i="14" s="1"/>
  <c r="A530" i="14" s="1"/>
  <c r="A531" i="14" s="1"/>
  <c r="A532" i="14" s="1"/>
  <c r="A533" i="14" s="1"/>
  <c r="A534" i="14" s="1"/>
  <c r="A535" i="14" s="1"/>
  <c r="A536" i="14" s="1"/>
  <c r="A537" i="14" s="1"/>
  <c r="A538" i="14" s="1"/>
  <c r="A539" i="14" s="1"/>
  <c r="A540" i="14" s="1"/>
  <c r="A541" i="14" s="1"/>
  <c r="A542" i="14" s="1"/>
  <c r="A543" i="14" s="1"/>
  <c r="A544" i="14" s="1"/>
  <c r="A545" i="14" s="1"/>
  <c r="A546" i="14" s="1"/>
  <c r="A547" i="14" s="1"/>
  <c r="A548" i="14" s="1"/>
  <c r="A549" i="14" s="1"/>
  <c r="A550" i="14" s="1"/>
  <c r="A551" i="14" s="1"/>
  <c r="A552" i="14" s="1"/>
  <c r="A553" i="14" s="1"/>
  <c r="A554" i="14" s="1"/>
  <c r="A555" i="14" s="1"/>
  <c r="A556" i="14" s="1"/>
  <c r="A557" i="14" s="1"/>
  <c r="A558" i="14" s="1"/>
  <c r="A559" i="14" s="1"/>
  <c r="A560" i="14" s="1"/>
  <c r="A561" i="14" s="1"/>
  <c r="A562" i="14" s="1"/>
  <c r="A563" i="14" s="1"/>
  <c r="A564" i="14" s="1"/>
  <c r="A565" i="14" s="1"/>
  <c r="A566" i="14" s="1"/>
  <c r="A567" i="14" s="1"/>
  <c r="A568" i="14" s="1"/>
  <c r="A569" i="14" s="1"/>
  <c r="A570" i="14" s="1"/>
  <c r="A571" i="14" s="1"/>
  <c r="A572" i="14" s="1"/>
  <c r="A573" i="14" s="1"/>
  <c r="A574" i="14" s="1"/>
  <c r="A575" i="14" s="1"/>
  <c r="A576" i="14" s="1"/>
  <c r="J12" i="14"/>
  <c r="J20" i="14"/>
  <c r="J18" i="14"/>
  <c r="J19" i="14"/>
  <c r="J17" i="14"/>
  <c r="J16" i="14"/>
  <c r="J14" i="14"/>
  <c r="J11" i="14"/>
  <c r="J15" i="14"/>
  <c r="P27" i="49"/>
  <c r="P28" i="49" s="1"/>
  <c r="J1100" i="14" l="1"/>
  <c r="J1103" i="14"/>
  <c r="J1099" i="14"/>
  <c r="J1108" i="14"/>
  <c r="J1110" i="14"/>
  <c r="N327" i="148"/>
  <c r="O327" i="148" s="1"/>
  <c r="I618" i="148"/>
  <c r="L618" i="148" s="1"/>
  <c r="N208" i="148"/>
  <c r="O208" i="148" s="1"/>
  <c r="N473" i="148"/>
  <c r="O473" i="148" s="1"/>
  <c r="F610" i="148"/>
  <c r="N610" i="148" s="1"/>
  <c r="O610" i="148" s="1"/>
  <c r="I400" i="148"/>
  <c r="L400" i="148" s="1"/>
  <c r="F579" i="148"/>
  <c r="I579" i="148" s="1"/>
  <c r="L579" i="148" s="1"/>
  <c r="F32" i="148"/>
  <c r="I32" i="148" s="1"/>
  <c r="L32" i="148" s="1"/>
  <c r="F500" i="148"/>
  <c r="N500" i="148" s="1"/>
  <c r="O500" i="148" s="1"/>
  <c r="F477" i="148"/>
  <c r="N477" i="148" s="1"/>
  <c r="O477" i="148" s="1"/>
  <c r="I241" i="148"/>
  <c r="L241" i="148" s="1"/>
  <c r="N627" i="148"/>
  <c r="O627" i="148" s="1"/>
  <c r="N680" i="148"/>
  <c r="O680" i="148" s="1"/>
  <c r="N866" i="148"/>
  <c r="O866" i="148" s="1"/>
  <c r="I148" i="148"/>
  <c r="L148" i="148" s="1"/>
  <c r="N523" i="148"/>
  <c r="O523" i="148" s="1"/>
  <c r="I390" i="148"/>
  <c r="L390" i="148" s="1"/>
  <c r="N756" i="148"/>
  <c r="O756" i="148" s="1"/>
  <c r="N884" i="148"/>
  <c r="O884" i="148" s="1"/>
  <c r="I137" i="148"/>
  <c r="L137" i="148" s="1"/>
  <c r="I588" i="148"/>
  <c r="L588" i="148" s="1"/>
  <c r="N700" i="148"/>
  <c r="O700" i="148" s="1"/>
  <c r="N505" i="148"/>
  <c r="O505" i="148" s="1"/>
  <c r="N441" i="148"/>
  <c r="O441" i="148" s="1"/>
  <c r="I86" i="148"/>
  <c r="L86" i="148" s="1"/>
  <c r="N524" i="148"/>
  <c r="O524" i="148" s="1"/>
  <c r="I391" i="148"/>
  <c r="L391" i="148" s="1"/>
  <c r="N510" i="148"/>
  <c r="O510" i="148" s="1"/>
  <c r="A27" i="148"/>
  <c r="A28" i="148" s="1"/>
  <c r="A29" i="148" s="1"/>
  <c r="A30" i="148" s="1"/>
  <c r="A31" i="148" s="1"/>
  <c r="I246" i="148"/>
  <c r="L246" i="148" s="1"/>
  <c r="N624" i="148"/>
  <c r="O624" i="148" s="1"/>
  <c r="N604" i="148"/>
  <c r="O604" i="148" s="1"/>
  <c r="N291" i="148"/>
  <c r="O291" i="148" s="1"/>
  <c r="N410" i="148"/>
  <c r="O410" i="148" s="1"/>
  <c r="N27" i="148"/>
  <c r="O27" i="148" s="1"/>
  <c r="I411" i="148"/>
  <c r="L411" i="148" s="1"/>
  <c r="I605" i="148"/>
  <c r="L605" i="148" s="1"/>
  <c r="N99" i="148"/>
  <c r="O99" i="148" s="1"/>
  <c r="N102" i="148"/>
  <c r="O102" i="148" s="1"/>
  <c r="N393" i="148"/>
  <c r="O393" i="148" s="1"/>
  <c r="I575" i="148"/>
  <c r="L575" i="148" s="1"/>
  <c r="I98" i="148"/>
  <c r="L98" i="148" s="1"/>
  <c r="N348" i="148"/>
  <c r="O348" i="148" s="1"/>
  <c r="N518" i="148"/>
  <c r="O518" i="148" s="1"/>
  <c r="A42" i="13"/>
  <c r="A43" i="13" s="1"/>
  <c r="A44" i="13" s="1"/>
  <c r="A45" i="13" s="1"/>
  <c r="A46" i="13" s="1"/>
  <c r="A40" i="13"/>
  <c r="A577" i="14"/>
  <c r="A578" i="14" s="1"/>
  <c r="A579" i="14" s="1"/>
  <c r="A580" i="14" s="1"/>
  <c r="A581" i="14" s="1"/>
  <c r="A582" i="14" s="1"/>
  <c r="A583" i="14" s="1"/>
  <c r="A584" i="14" s="1"/>
  <c r="A585" i="14" s="1"/>
  <c r="A586" i="14" s="1"/>
  <c r="A587" i="14" s="1"/>
  <c r="A588" i="14" s="1"/>
  <c r="A589" i="14" s="1"/>
  <c r="A590" i="14" s="1"/>
  <c r="A591" i="14" s="1"/>
  <c r="A592" i="14" s="1"/>
  <c r="A593" i="14" s="1"/>
  <c r="A594" i="14" s="1"/>
  <c r="A595" i="14" s="1"/>
  <c r="A596" i="14" s="1"/>
  <c r="A597" i="14" s="1"/>
  <c r="A598" i="14" s="1"/>
  <c r="A599" i="14" s="1"/>
  <c r="A600" i="14" s="1"/>
  <c r="A601" i="14" s="1"/>
  <c r="A602" i="14" s="1"/>
  <c r="A603" i="14" s="1"/>
  <c r="A604" i="14" s="1"/>
  <c r="A605" i="14" s="1"/>
  <c r="A606" i="14" s="1"/>
  <c r="A607" i="14" s="1"/>
  <c r="A608" i="14" s="1"/>
  <c r="A609" i="14" s="1"/>
  <c r="A610" i="14" s="1"/>
  <c r="A611" i="14" s="1"/>
  <c r="A612" i="14" s="1"/>
  <c r="A613" i="14" s="1"/>
  <c r="A614" i="14" s="1"/>
  <c r="A615" i="14" s="1"/>
  <c r="A616" i="14" s="1"/>
  <c r="A617" i="14" s="1"/>
  <c r="A618" i="14" s="1"/>
  <c r="A619" i="14" s="1"/>
  <c r="A620" i="14" s="1"/>
  <c r="A621" i="14" s="1"/>
  <c r="A622" i="14" s="1"/>
  <c r="A623" i="14" s="1"/>
  <c r="A624" i="14" s="1"/>
  <c r="A625" i="14" s="1"/>
  <c r="A626" i="14" s="1"/>
  <c r="A627" i="14" s="1"/>
  <c r="A628" i="14" s="1"/>
  <c r="A629" i="14" s="1"/>
  <c r="A630" i="14" s="1"/>
  <c r="A631" i="14" s="1"/>
  <c r="A632" i="14" s="1"/>
  <c r="A633" i="14" s="1"/>
  <c r="A634" i="14" s="1"/>
  <c r="A635" i="14" s="1"/>
  <c r="A636" i="14" s="1"/>
  <c r="A637" i="14" s="1"/>
  <c r="A638" i="14" s="1"/>
  <c r="A639" i="14" s="1"/>
  <c r="A640" i="14" s="1"/>
  <c r="A641" i="14" s="1"/>
  <c r="A642" i="14" s="1"/>
  <c r="A643" i="14" s="1"/>
  <c r="A644" i="14" s="1"/>
  <c r="A645" i="14" s="1"/>
  <c r="A646" i="14" s="1"/>
  <c r="A647" i="14" s="1"/>
  <c r="A648" i="14" s="1"/>
  <c r="A649" i="14" s="1"/>
  <c r="A650" i="14" s="1"/>
  <c r="A651" i="14" s="1"/>
  <c r="A652" i="14" s="1"/>
  <c r="A653" i="14" s="1"/>
  <c r="A654" i="14" s="1"/>
  <c r="A655" i="14" s="1"/>
  <c r="A656" i="14" s="1"/>
  <c r="A657" i="14" s="1"/>
  <c r="A658" i="14" s="1"/>
  <c r="A659" i="14" s="1"/>
  <c r="A660" i="14" s="1"/>
  <c r="A661" i="14" s="1"/>
  <c r="A662" i="14" s="1"/>
  <c r="A663" i="14" s="1"/>
  <c r="A664" i="14" s="1"/>
  <c r="A665" i="14" s="1"/>
  <c r="A666" i="14" s="1"/>
  <c r="A667" i="14" s="1"/>
  <c r="A668" i="14" s="1"/>
  <c r="A669" i="14" s="1"/>
  <c r="A670" i="14" s="1"/>
  <c r="A671" i="14" s="1"/>
  <c r="A672" i="14" s="1"/>
  <c r="A673" i="14" s="1"/>
  <c r="A674" i="14" s="1"/>
  <c r="A675" i="14" s="1"/>
  <c r="A676" i="14" s="1"/>
  <c r="A677" i="14" s="1"/>
  <c r="A678" i="14" s="1"/>
  <c r="A679" i="14" s="1"/>
  <c r="A680" i="14" s="1"/>
  <c r="A681" i="14" s="1"/>
  <c r="A682" i="14" s="1"/>
  <c r="A683" i="14" s="1"/>
  <c r="A684" i="14" s="1"/>
  <c r="A685" i="14" s="1"/>
  <c r="A686" i="14" s="1"/>
  <c r="A687" i="14" s="1"/>
  <c r="A688" i="14" s="1"/>
  <c r="A689" i="14" s="1"/>
  <c r="A690" i="14" s="1"/>
  <c r="A691" i="14" s="1"/>
  <c r="A692" i="14" s="1"/>
  <c r="A693" i="14" s="1"/>
  <c r="A694" i="14" s="1"/>
  <c r="A695" i="14" s="1"/>
  <c r="A696" i="14" s="1"/>
  <c r="A697" i="14" s="1"/>
  <c r="A698" i="14" s="1"/>
  <c r="A699" i="14" s="1"/>
  <c r="A700" i="14" s="1"/>
  <c r="A701" i="14" s="1"/>
  <c r="A702" i="14" s="1"/>
  <c r="A703" i="14" s="1"/>
  <c r="A704" i="14" s="1"/>
  <c r="A705" i="14" s="1"/>
  <c r="A706" i="14" s="1"/>
  <c r="A707" i="14" s="1"/>
  <c r="A708" i="14" s="1"/>
  <c r="A709" i="14" s="1"/>
  <c r="A710" i="14" s="1"/>
  <c r="A711" i="14" s="1"/>
  <c r="A712" i="14" s="1"/>
  <c r="A713" i="14" s="1"/>
  <c r="A714" i="14" s="1"/>
  <c r="A715" i="14" s="1"/>
  <c r="A716" i="14" s="1"/>
  <c r="A717" i="14" s="1"/>
  <c r="A718" i="14" s="1"/>
  <c r="A719" i="14" s="1"/>
  <c r="A720" i="14" s="1"/>
  <c r="A721" i="14" s="1"/>
  <c r="A722" i="14" s="1"/>
  <c r="A723" i="14" s="1"/>
  <c r="A724" i="14" s="1"/>
  <c r="A725" i="14" s="1"/>
  <c r="A726" i="14" s="1"/>
  <c r="A727" i="14" s="1"/>
  <c r="A728" i="14" s="1"/>
  <c r="A729" i="14" s="1"/>
  <c r="A730" i="14" s="1"/>
  <c r="A731" i="14" s="1"/>
  <c r="A732" i="14" s="1"/>
  <c r="A733" i="14" s="1"/>
  <c r="A734" i="14" s="1"/>
  <c r="A735" i="14" s="1"/>
  <c r="A736" i="14" s="1"/>
  <c r="A737" i="14" s="1"/>
  <c r="A738" i="14" s="1"/>
  <c r="A739" i="14" s="1"/>
  <c r="A740" i="14" s="1"/>
  <c r="A741" i="14" s="1"/>
  <c r="A742" i="14" s="1"/>
  <c r="A743" i="14" s="1"/>
  <c r="A744" i="14" s="1"/>
  <c r="A745" i="14" s="1"/>
  <c r="A746" i="14" s="1"/>
  <c r="A747" i="14" s="1"/>
  <c r="A748" i="14" s="1"/>
  <c r="A749" i="14" s="1"/>
  <c r="A750" i="14" s="1"/>
  <c r="A751" i="14" s="1"/>
  <c r="A752" i="14" s="1"/>
  <c r="A753" i="14" s="1"/>
  <c r="A754" i="14" s="1"/>
  <c r="A755" i="14" s="1"/>
  <c r="A756" i="14" s="1"/>
  <c r="A757" i="14" s="1"/>
  <c r="A758" i="14" s="1"/>
  <c r="A759" i="14" s="1"/>
  <c r="A760" i="14" s="1"/>
  <c r="A761" i="14" s="1"/>
  <c r="A762" i="14" s="1"/>
  <c r="A763" i="14" s="1"/>
  <c r="A764" i="14" s="1"/>
  <c r="A765" i="14" s="1"/>
  <c r="A766" i="14" s="1"/>
  <c r="A767" i="14" s="1"/>
  <c r="A768" i="14" s="1"/>
  <c r="A769" i="14" s="1"/>
  <c r="A770" i="14" s="1"/>
  <c r="A771" i="14" s="1"/>
  <c r="A772" i="14" s="1"/>
  <c r="A773" i="14" s="1"/>
  <c r="A774" i="14" s="1"/>
  <c r="A775" i="14" s="1"/>
  <c r="A776" i="14" s="1"/>
  <c r="A777" i="14" s="1"/>
  <c r="A778" i="14" s="1"/>
  <c r="A779" i="14" s="1"/>
  <c r="A780" i="14" s="1"/>
  <c r="A781" i="14" s="1"/>
  <c r="A782" i="14" s="1"/>
  <c r="A783" i="14" s="1"/>
  <c r="A784" i="14" s="1"/>
  <c r="A785" i="14" s="1"/>
  <c r="A786" i="14" s="1"/>
  <c r="A787" i="14" s="1"/>
  <c r="A788" i="14" s="1"/>
  <c r="A789" i="14" s="1"/>
  <c r="A790" i="14" s="1"/>
  <c r="A791" i="14" s="1"/>
  <c r="A792" i="14" s="1"/>
  <c r="A793" i="14" s="1"/>
  <c r="A794" i="14" s="1"/>
  <c r="A795" i="14" s="1"/>
  <c r="A796" i="14" s="1"/>
  <c r="A797" i="14" s="1"/>
  <c r="A798" i="14" s="1"/>
  <c r="A799" i="14" s="1"/>
  <c r="A800" i="14" s="1"/>
  <c r="A801" i="14" s="1"/>
  <c r="A802" i="14" s="1"/>
  <c r="A803" i="14" s="1"/>
  <c r="A804" i="14" s="1"/>
  <c r="A805" i="14" s="1"/>
  <c r="A806" i="14" s="1"/>
  <c r="A807" i="14" s="1"/>
  <c r="A808" i="14" s="1"/>
  <c r="A809" i="14" s="1"/>
  <c r="A810" i="14" s="1"/>
  <c r="A811" i="14" s="1"/>
  <c r="A812" i="14" s="1"/>
  <c r="A813" i="14" s="1"/>
  <c r="A814" i="14" s="1"/>
  <c r="A815" i="14" s="1"/>
  <c r="A816" i="14" s="1"/>
  <c r="A817" i="14" s="1"/>
  <c r="A818" i="14" s="1"/>
  <c r="A819" i="14" s="1"/>
  <c r="A820" i="14" s="1"/>
  <c r="A821" i="14" s="1"/>
  <c r="A822" i="14" s="1"/>
  <c r="A823" i="14" s="1"/>
  <c r="A824" i="14" s="1"/>
  <c r="A825" i="14" s="1"/>
  <c r="A826" i="14" s="1"/>
  <c r="A827" i="14" s="1"/>
  <c r="A828" i="14" s="1"/>
  <c r="A829" i="14" s="1"/>
  <c r="A830" i="14" s="1"/>
  <c r="A831" i="14" s="1"/>
  <c r="A832" i="14" s="1"/>
  <c r="A833" i="14" s="1"/>
  <c r="A834" i="14" s="1"/>
  <c r="A835" i="14" s="1"/>
  <c r="A836" i="14" s="1"/>
  <c r="A837" i="14" s="1"/>
  <c r="A838" i="14" s="1"/>
  <c r="A839" i="14" s="1"/>
  <c r="A840" i="14" s="1"/>
  <c r="A841" i="14" s="1"/>
  <c r="A842" i="14" s="1"/>
  <c r="A843" i="14" s="1"/>
  <c r="A844" i="14" s="1"/>
  <c r="A845" i="14" s="1"/>
  <c r="A846" i="14" s="1"/>
  <c r="A847" i="14" s="1"/>
  <c r="A848" i="14" s="1"/>
  <c r="A849" i="14" s="1"/>
  <c r="A850" i="14" s="1"/>
  <c r="A851" i="14" s="1"/>
  <c r="A852" i="14" s="1"/>
  <c r="A853" i="14" s="1"/>
  <c r="A854" i="14" s="1"/>
  <c r="A855" i="14" s="1"/>
  <c r="A856" i="14" s="1"/>
  <c r="A857" i="14" s="1"/>
  <c r="A858" i="14" s="1"/>
  <c r="A859" i="14" s="1"/>
  <c r="A860" i="14" s="1"/>
  <c r="A861" i="14" s="1"/>
  <c r="A862" i="14" s="1"/>
  <c r="A863" i="14" s="1"/>
  <c r="A864" i="14" s="1"/>
  <c r="A865" i="14" s="1"/>
  <c r="A866" i="14" s="1"/>
  <c r="A867" i="14" s="1"/>
  <c r="A868" i="14" s="1"/>
  <c r="A869" i="14" s="1"/>
  <c r="A870" i="14" s="1"/>
  <c r="A871" i="14" s="1"/>
  <c r="A872" i="14" s="1"/>
  <c r="A873" i="14" s="1"/>
  <c r="A874" i="14" s="1"/>
  <c r="A875" i="14" s="1"/>
  <c r="A876" i="14" s="1"/>
  <c r="A877" i="14" s="1"/>
  <c r="A878" i="14" s="1"/>
  <c r="A879" i="14" s="1"/>
  <c r="A880" i="14" s="1"/>
  <c r="A881" i="14" s="1"/>
  <c r="A882" i="14" s="1"/>
  <c r="A883" i="14" s="1"/>
  <c r="A884" i="14" s="1"/>
  <c r="A885" i="14" s="1"/>
  <c r="A886" i="14" s="1"/>
  <c r="A887" i="14" s="1"/>
  <c r="A888" i="14" s="1"/>
  <c r="A889" i="14" s="1"/>
  <c r="A890" i="14" s="1"/>
  <c r="A891" i="14" s="1"/>
  <c r="A892" i="14" s="1"/>
  <c r="A893" i="14" s="1"/>
  <c r="A894" i="14" s="1"/>
  <c r="A895" i="14" s="1"/>
  <c r="A896" i="14" s="1"/>
  <c r="A897" i="14" s="1"/>
  <c r="A898" i="14" s="1"/>
  <c r="A899" i="14" s="1"/>
  <c r="A900" i="14" s="1"/>
  <c r="A901" i="14" s="1"/>
  <c r="A902" i="14" s="1"/>
  <c r="A903" i="14" s="1"/>
  <c r="A904" i="14" s="1"/>
  <c r="A905" i="14" s="1"/>
  <c r="A906" i="14" s="1"/>
  <c r="A907" i="14" s="1"/>
  <c r="A908" i="14" s="1"/>
  <c r="A909" i="14" s="1"/>
  <c r="A910" i="14" s="1"/>
  <c r="A911" i="14" s="1"/>
  <c r="A912" i="14" s="1"/>
  <c r="A913" i="14" s="1"/>
  <c r="A914" i="14" s="1"/>
  <c r="A915" i="14" s="1"/>
  <c r="A916" i="14" s="1"/>
  <c r="A917" i="14" s="1"/>
  <c r="A918" i="14" s="1"/>
  <c r="A919" i="14" s="1"/>
  <c r="A920" i="14" s="1"/>
  <c r="A921" i="14" s="1"/>
  <c r="A922" i="14" s="1"/>
  <c r="A923" i="14" s="1"/>
  <c r="A924" i="14" s="1"/>
  <c r="A925" i="14" s="1"/>
  <c r="A926" i="14" s="1"/>
  <c r="A927" i="14" s="1"/>
  <c r="A928" i="14" s="1"/>
  <c r="A929" i="14" s="1"/>
  <c r="A930" i="14" s="1"/>
  <c r="A931" i="14" s="1"/>
  <c r="A932" i="14" s="1"/>
  <c r="A933" i="14" s="1"/>
  <c r="A934" i="14" s="1"/>
  <c r="A935" i="14" s="1"/>
  <c r="A936" i="14" s="1"/>
  <c r="A937" i="14" s="1"/>
  <c r="A938" i="14" s="1"/>
  <c r="A939" i="14" s="1"/>
  <c r="A940" i="14" s="1"/>
  <c r="A941" i="14" s="1"/>
  <c r="A942" i="14" s="1"/>
  <c r="A943" i="14" s="1"/>
  <c r="A944" i="14" s="1"/>
  <c r="A945" i="14" s="1"/>
  <c r="A946" i="14" s="1"/>
  <c r="A947" i="14" s="1"/>
  <c r="A948" i="14" s="1"/>
  <c r="A949" i="14" s="1"/>
  <c r="A950" i="14" s="1"/>
  <c r="A951" i="14" s="1"/>
  <c r="A952" i="14" s="1"/>
  <c r="A953" i="14" s="1"/>
  <c r="A954" i="14" s="1"/>
  <c r="A955" i="14" s="1"/>
  <c r="A956" i="14" s="1"/>
  <c r="A957" i="14" s="1"/>
  <c r="A958" i="14" s="1"/>
  <c r="A959" i="14" s="1"/>
  <c r="A960" i="14" s="1"/>
  <c r="A961" i="14" s="1"/>
  <c r="A962" i="14" s="1"/>
  <c r="A963" i="14" s="1"/>
  <c r="A964" i="14" s="1"/>
  <c r="A965" i="14" s="1"/>
  <c r="A966" i="14" s="1"/>
  <c r="A967" i="14" s="1"/>
  <c r="A968" i="14" s="1"/>
  <c r="A969" i="14" s="1"/>
  <c r="A970" i="14" s="1"/>
  <c r="A971" i="14" s="1"/>
  <c r="A972" i="14" s="1"/>
  <c r="A973" i="14" s="1"/>
  <c r="A974" i="14" s="1"/>
  <c r="A975" i="14" s="1"/>
  <c r="A976" i="14" s="1"/>
  <c r="A977" i="14" s="1"/>
  <c r="A978" i="14" s="1"/>
  <c r="A979" i="14" s="1"/>
  <c r="A980" i="14" s="1"/>
  <c r="A981" i="14" s="1"/>
  <c r="A982" i="14" s="1"/>
  <c r="A983" i="14" s="1"/>
  <c r="A984" i="14" s="1"/>
  <c r="A985" i="14" s="1"/>
  <c r="A986" i="14" s="1"/>
  <c r="A987" i="14" s="1"/>
  <c r="A988" i="14" s="1"/>
  <c r="A989" i="14" s="1"/>
  <c r="A990" i="14" s="1"/>
  <c r="A991" i="14" s="1"/>
  <c r="A992" i="14" s="1"/>
  <c r="A993" i="14" s="1"/>
  <c r="A994" i="14" s="1"/>
  <c r="A995" i="14" s="1"/>
  <c r="A996" i="14" s="1"/>
  <c r="A997" i="14" s="1"/>
  <c r="A998" i="14" s="1"/>
  <c r="A999" i="14" s="1"/>
  <c r="A1000" i="14" s="1"/>
  <c r="A1001" i="14" s="1"/>
  <c r="A1002" i="14" s="1"/>
  <c r="A1003" i="14" s="1"/>
  <c r="A1004" i="14" s="1"/>
  <c r="A1005" i="14" s="1"/>
  <c r="A1006" i="14" s="1"/>
  <c r="A1007" i="14" s="1"/>
  <c r="A1008" i="14" s="1"/>
  <c r="A1009" i="14" s="1"/>
  <c r="A1010" i="14" s="1"/>
  <c r="A1011" i="14" s="1"/>
  <c r="A1012" i="14" s="1"/>
  <c r="A1013" i="14" s="1"/>
  <c r="A1014" i="14" s="1"/>
  <c r="A1015" i="14" s="1"/>
  <c r="A1016" i="14" s="1"/>
  <c r="A1017" i="14" s="1"/>
  <c r="A1018" i="14" s="1"/>
  <c r="A1019" i="14" s="1"/>
  <c r="A1020" i="14" s="1"/>
  <c r="A1021" i="14" s="1"/>
  <c r="A1022" i="14" s="1"/>
  <c r="A1023" i="14" s="1"/>
  <c r="A1024" i="14" s="1"/>
  <c r="A1025" i="14" s="1"/>
  <c r="A1026" i="14" s="1"/>
  <c r="A1027" i="14" s="1"/>
  <c r="A1028" i="14" s="1"/>
  <c r="A1029" i="14" s="1"/>
  <c r="A1030" i="14" s="1"/>
  <c r="A1031" i="14" s="1"/>
  <c r="A1032" i="14" s="1"/>
  <c r="A1033" i="14" s="1"/>
  <c r="A1034" i="14" s="1"/>
  <c r="A1035" i="14" s="1"/>
  <c r="A1036" i="14" s="1"/>
  <c r="A1037" i="14" s="1"/>
  <c r="A1038" i="14" s="1"/>
  <c r="A1039" i="14" s="1"/>
  <c r="A1040" i="14" s="1"/>
  <c r="A1041" i="14" s="1"/>
  <c r="A1042" i="14" s="1"/>
  <c r="A1043" i="14" s="1"/>
  <c r="A1044" i="14" s="1"/>
  <c r="A1045" i="14" s="1"/>
  <c r="A1046" i="14" s="1"/>
  <c r="A1047" i="14" s="1"/>
  <c r="A1048" i="14" s="1"/>
  <c r="A1049" i="14" s="1"/>
  <c r="A1050" i="14" s="1"/>
  <c r="A1051" i="14" s="1"/>
  <c r="A1052" i="14" s="1"/>
  <c r="A1053" i="14" s="1"/>
  <c r="A1054" i="14" s="1"/>
  <c r="A1055" i="14" s="1"/>
  <c r="A1056" i="14" s="1"/>
  <c r="A1057" i="14" s="1"/>
  <c r="A1058" i="14" s="1"/>
  <c r="A1059" i="14" s="1"/>
  <c r="A1060" i="14" s="1"/>
  <c r="A1061" i="14" s="1"/>
  <c r="A1062" i="14" s="1"/>
  <c r="A1063" i="14" s="1"/>
  <c r="A1064" i="14" s="1"/>
  <c r="A1065" i="14" s="1"/>
  <c r="A1066" i="14" s="1"/>
  <c r="A1067" i="14" s="1"/>
  <c r="A1068" i="14" s="1"/>
  <c r="A1069" i="14" s="1"/>
  <c r="A1070" i="14" s="1"/>
  <c r="A1071" i="14" s="1"/>
  <c r="A1072" i="14" s="1"/>
  <c r="A1073" i="14" s="1"/>
  <c r="A1074" i="14" s="1"/>
  <c r="A1075" i="14" s="1"/>
  <c r="A1076" i="14" s="1"/>
  <c r="A1077" i="14" s="1"/>
  <c r="A1078" i="14" s="1"/>
  <c r="A1079" i="14" s="1"/>
  <c r="A1080" i="14" s="1"/>
  <c r="A1081" i="14" s="1"/>
  <c r="A1082" i="14" s="1"/>
  <c r="A1083" i="14" s="1"/>
  <c r="A1084" i="14" s="1"/>
  <c r="A1085" i="14" s="1"/>
  <c r="A1086" i="14" s="1"/>
  <c r="A1087" i="14" s="1"/>
  <c r="A1088" i="14" s="1"/>
  <c r="A1089" i="14" s="1"/>
  <c r="A1090" i="14" s="1"/>
  <c r="A1091" i="14" s="1"/>
  <c r="A1092" i="14" s="1"/>
  <c r="A1093" i="14" s="1"/>
  <c r="A1094" i="14" s="1"/>
  <c r="A1095" i="14" s="1"/>
  <c r="A1096" i="14" s="1"/>
  <c r="A1097" i="14" s="1"/>
  <c r="A1098" i="14" s="1"/>
  <c r="A1099" i="14" s="1"/>
  <c r="A1100" i="14" s="1"/>
  <c r="A1101" i="14" s="1"/>
  <c r="A1102" i="14" s="1"/>
  <c r="A1103" i="14" s="1"/>
  <c r="A1104" i="14" s="1"/>
  <c r="A1105" i="14" s="1"/>
  <c r="A1106" i="14" s="1"/>
  <c r="A1107" i="14" s="1"/>
  <c r="A1108" i="14" s="1"/>
  <c r="A1109" i="14" s="1"/>
  <c r="A1110" i="14" s="1"/>
  <c r="A1111" i="14" s="1"/>
  <c r="A1112" i="14" s="1"/>
  <c r="A1113" i="14" s="1"/>
  <c r="A1114" i="14" s="1"/>
  <c r="A1115" i="14" s="1"/>
  <c r="A1116" i="14" s="1"/>
  <c r="A1117" i="14" s="1"/>
  <c r="A1118" i="14" s="1"/>
  <c r="A1119" i="14" s="1"/>
  <c r="A1120" i="14" s="1"/>
  <c r="A1121" i="14" s="1"/>
  <c r="A1122" i="14" s="1"/>
  <c r="A1123" i="14" s="1"/>
  <c r="A1124" i="14" s="1"/>
  <c r="A1125" i="14" s="1"/>
  <c r="A1126" i="14" s="1"/>
  <c r="A1127" i="14" s="1"/>
  <c r="A1128" i="14" s="1"/>
  <c r="A1129" i="14" s="1"/>
  <c r="A1130" i="14" s="1"/>
  <c r="A1131" i="14" s="1"/>
  <c r="A1132" i="14" s="1"/>
  <c r="A1133" i="14" s="1"/>
  <c r="A1134" i="14" s="1"/>
  <c r="A1135" i="14" s="1"/>
  <c r="A1136" i="14" s="1"/>
  <c r="A1137" i="14" s="1"/>
  <c r="A1138" i="14" s="1"/>
  <c r="A1139" i="14" s="1"/>
  <c r="A1140" i="14" s="1"/>
  <c r="A1141" i="14" s="1"/>
  <c r="A1142" i="14" s="1"/>
  <c r="A1143" i="14" s="1"/>
  <c r="A1144" i="14" s="1"/>
  <c r="A1145" i="14" s="1"/>
  <c r="A1146" i="14" s="1"/>
  <c r="A1147" i="14" s="1"/>
  <c r="A1148" i="14" s="1"/>
  <c r="A1149" i="14" s="1"/>
  <c r="A1150" i="14" s="1"/>
  <c r="A1151" i="14" s="1"/>
  <c r="A1152" i="14" s="1"/>
  <c r="A1153" i="14" s="1"/>
  <c r="A1154" i="14" s="1"/>
  <c r="A1155" i="14" s="1"/>
  <c r="A1156" i="14" s="1"/>
  <c r="A1157" i="14" s="1"/>
  <c r="A1158" i="14" s="1"/>
  <c r="A1159" i="14" s="1"/>
  <c r="A1160" i="14" s="1"/>
  <c r="A1161" i="14" s="1"/>
  <c r="A1162" i="14" s="1"/>
  <c r="A1163" i="14" s="1"/>
  <c r="A1164" i="14" s="1"/>
  <c r="A1165" i="14" s="1"/>
  <c r="A1166" i="14" s="1"/>
  <c r="A1167" i="14" s="1"/>
  <c r="A1168" i="14" s="1"/>
  <c r="A1169" i="14" s="1"/>
  <c r="A1170" i="14" s="1"/>
  <c r="A1171" i="14" s="1"/>
  <c r="A1172" i="14" s="1"/>
  <c r="A1173" i="14" s="1"/>
  <c r="A1174" i="14" s="1"/>
  <c r="A1175" i="14" s="1"/>
  <c r="A1176" i="14" s="1"/>
  <c r="A1177" i="14" s="1"/>
  <c r="A1178" i="14" s="1"/>
  <c r="A1179" i="14" s="1"/>
  <c r="A1180" i="14" s="1"/>
  <c r="A1181" i="14" s="1"/>
  <c r="A1182" i="14" s="1"/>
  <c r="A1183" i="14" s="1"/>
  <c r="A1184" i="14" s="1"/>
  <c r="A1185" i="14" s="1"/>
  <c r="A1186" i="14" s="1"/>
  <c r="A1187" i="14" s="1"/>
  <c r="A1188" i="14" s="1"/>
  <c r="A1189" i="14" s="1"/>
  <c r="A1190" i="14" s="1"/>
  <c r="A1191" i="14" s="1"/>
  <c r="A1192" i="14" s="1"/>
  <c r="A1193" i="14" s="1"/>
  <c r="A1194" i="14" s="1"/>
  <c r="A1195" i="14" s="1"/>
  <c r="A1196" i="14" s="1"/>
  <c r="A1197" i="14" s="1"/>
  <c r="A1198" i="14" s="1"/>
  <c r="A1199" i="14" s="1"/>
  <c r="A1200" i="14" s="1"/>
  <c r="A1201" i="14" s="1"/>
  <c r="A1202" i="14" s="1"/>
  <c r="A1203" i="14" s="1"/>
  <c r="A1204" i="14" s="1"/>
  <c r="A1205" i="14" s="1"/>
  <c r="A1206" i="14" s="1"/>
  <c r="A1207" i="14" s="1"/>
  <c r="A1208" i="14" s="1"/>
  <c r="A1209" i="14" s="1"/>
  <c r="A1210" i="14" s="1"/>
  <c r="A1211" i="14" s="1"/>
  <c r="A1212" i="14" s="1"/>
  <c r="A1213" i="14" s="1"/>
  <c r="A1214" i="14" s="1"/>
  <c r="A1215" i="14" s="1"/>
  <c r="A1216" i="14" s="1"/>
  <c r="A1217" i="14" s="1"/>
  <c r="A1218" i="14" s="1"/>
  <c r="A1219" i="14" s="1"/>
  <c r="A1220" i="14" s="1"/>
  <c r="A1221" i="14" s="1"/>
  <c r="A1222" i="14" s="1"/>
  <c r="A1223" i="14" s="1"/>
  <c r="A1224" i="14" s="1"/>
  <c r="A1225" i="14" s="1"/>
  <c r="A1226" i="14" s="1"/>
  <c r="A1227" i="14" s="1"/>
  <c r="A1228" i="14" s="1"/>
  <c r="A1229" i="14" s="1"/>
  <c r="A1230" i="14" s="1"/>
  <c r="A1231" i="14" s="1"/>
  <c r="A1232" i="14" s="1"/>
  <c r="A1233" i="14" s="1"/>
  <c r="A1234" i="14" s="1"/>
  <c r="A1235" i="14" s="1"/>
  <c r="A1236" i="14" s="1"/>
  <c r="A1237" i="14" s="1"/>
  <c r="A1238" i="14" s="1"/>
  <c r="A1239" i="14" s="1"/>
  <c r="A1240" i="14" s="1"/>
  <c r="A1241" i="14" s="1"/>
  <c r="A1242" i="14" s="1"/>
  <c r="A1243" i="14" s="1"/>
  <c r="A1244" i="14" s="1"/>
  <c r="A1245" i="14" s="1"/>
  <c r="A1246" i="14" s="1"/>
  <c r="A1247" i="14" s="1"/>
  <c r="A1248" i="14" s="1"/>
  <c r="A1249" i="14" s="1"/>
  <c r="A1250" i="14" s="1"/>
  <c r="A1251" i="14" s="1"/>
  <c r="A1252" i="14" s="1"/>
  <c r="A1253" i="14" s="1"/>
  <c r="A1254" i="14" s="1"/>
  <c r="A1255" i="14" s="1"/>
  <c r="A1256" i="14" s="1"/>
  <c r="A1257" i="14" s="1"/>
  <c r="A1258" i="14" s="1"/>
  <c r="A1259" i="14" s="1"/>
  <c r="A1260" i="14" s="1"/>
  <c r="A1261" i="14" s="1"/>
  <c r="A1262" i="14" s="1"/>
  <c r="A1263" i="14" s="1"/>
  <c r="A1264" i="14" s="1"/>
  <c r="A1265" i="14" s="1"/>
  <c r="A1266" i="14" s="1"/>
  <c r="A1267" i="14" s="1"/>
  <c r="A1268" i="14" s="1"/>
  <c r="A1269" i="14" s="1"/>
  <c r="A1270" i="14" s="1"/>
  <c r="A1271" i="14" s="1"/>
  <c r="A1272" i="14" s="1"/>
  <c r="A1273" i="14" s="1"/>
  <c r="A1274" i="14" s="1"/>
  <c r="A1275" i="14" s="1"/>
  <c r="A1276" i="14" s="1"/>
  <c r="A1277" i="14" s="1"/>
  <c r="A1278" i="14" s="1"/>
  <c r="A1279" i="14" s="1"/>
  <c r="A1280" i="14" s="1"/>
  <c r="A1281" i="14" s="1"/>
  <c r="A1282" i="14" s="1"/>
  <c r="A1283" i="14" s="1"/>
  <c r="A1284" i="14" s="1"/>
  <c r="A1285" i="14" s="1"/>
  <c r="A1286" i="14" s="1"/>
  <c r="A1287" i="14" s="1"/>
  <c r="A1288" i="14" s="1"/>
  <c r="A1289" i="14" s="1"/>
  <c r="A1290" i="14" s="1"/>
  <c r="A1291" i="14" s="1"/>
  <c r="A1292" i="14" s="1"/>
  <c r="A1293" i="14" s="1"/>
  <c r="A1294" i="14" s="1"/>
  <c r="A1295" i="14" s="1"/>
  <c r="A1296" i="14" s="1"/>
  <c r="A1297" i="14" s="1"/>
  <c r="A1298" i="14" s="1"/>
  <c r="A1299" i="14" s="1"/>
  <c r="A1300" i="14" s="1"/>
  <c r="A1301" i="14" s="1"/>
  <c r="A1302" i="14" s="1"/>
  <c r="A1303" i="14" s="1"/>
  <c r="A1304" i="14" s="1"/>
  <c r="A1305" i="14" s="1"/>
  <c r="A1306" i="14" s="1"/>
  <c r="A1307" i="14" s="1"/>
  <c r="A1308" i="14" s="1"/>
  <c r="A1309" i="14" s="1"/>
  <c r="A1310" i="14" s="1"/>
  <c r="A1311" i="14" s="1"/>
  <c r="A1312" i="14" s="1"/>
  <c r="A1313" i="14" s="1"/>
  <c r="A1314" i="14" s="1"/>
  <c r="A1315" i="14" s="1"/>
  <c r="A1316" i="14" s="1"/>
  <c r="A1317" i="14" s="1"/>
  <c r="A1318" i="14" s="1"/>
  <c r="A1319" i="14" s="1"/>
  <c r="A1320" i="14" s="1"/>
  <c r="A1321" i="14" s="1"/>
  <c r="A1322" i="14" s="1"/>
  <c r="A1323" i="14" s="1"/>
  <c r="A1324" i="14" s="1"/>
  <c r="A1325" i="14" s="1"/>
  <c r="A1326" i="14" s="1"/>
  <c r="A1327" i="14" s="1"/>
  <c r="A1328" i="14" s="1"/>
  <c r="A1329" i="14" s="1"/>
  <c r="A1330" i="14" s="1"/>
  <c r="A1331" i="14" s="1"/>
  <c r="A1332" i="14" s="1"/>
  <c r="A1333" i="14" s="1"/>
  <c r="A1334" i="14" s="1"/>
  <c r="A1335" i="14" s="1"/>
  <c r="A1336" i="14" s="1"/>
  <c r="A1337" i="14" s="1"/>
  <c r="A1338" i="14" s="1"/>
  <c r="A1339" i="14" s="1"/>
  <c r="A1340" i="14" s="1"/>
  <c r="A1341" i="14" s="1"/>
  <c r="A1342" i="14" s="1"/>
  <c r="A1343" i="14" s="1"/>
  <c r="A1344" i="14" s="1"/>
  <c r="A1345" i="14" s="1"/>
  <c r="A1346" i="14" s="1"/>
  <c r="A1347" i="14" s="1"/>
  <c r="A1348" i="14" s="1"/>
  <c r="A1349" i="14" s="1"/>
  <c r="A1350" i="14" s="1"/>
  <c r="A1351" i="14" s="1"/>
  <c r="A1352" i="14" s="1"/>
  <c r="A1353" i="14" s="1"/>
  <c r="A1354" i="14" s="1"/>
  <c r="A1355" i="14" s="1"/>
  <c r="A1356" i="14" s="1"/>
  <c r="A1357" i="14" s="1"/>
  <c r="A1358" i="14" s="1"/>
  <c r="A1359" i="14" s="1"/>
  <c r="A1360" i="14" s="1"/>
  <c r="A1361" i="14" s="1"/>
  <c r="A1362" i="14" s="1"/>
  <c r="A1363" i="14" s="1"/>
  <c r="A1364" i="14" s="1"/>
  <c r="A1365" i="14" s="1"/>
  <c r="A1366" i="14" s="1"/>
  <c r="A1367" i="14" s="1"/>
  <c r="A1368" i="14" s="1"/>
  <c r="A1369" i="14" s="1"/>
  <c r="A1370" i="14" s="1"/>
  <c r="A1371" i="14" s="1"/>
  <c r="A1372" i="14" s="1"/>
  <c r="A1373" i="14" s="1"/>
  <c r="A1374" i="14" s="1"/>
  <c r="A1375" i="14" s="1"/>
  <c r="A1376" i="14" s="1"/>
  <c r="A1377" i="14" s="1"/>
  <c r="A1378" i="14" s="1"/>
  <c r="A1379" i="14" s="1"/>
  <c r="A1380" i="14" s="1"/>
  <c r="A1381" i="14" s="1"/>
  <c r="A1382" i="14" s="1"/>
  <c r="A1383" i="14" s="1"/>
  <c r="A1384" i="14" s="1"/>
  <c r="A1385" i="14" s="1"/>
  <c r="A1386" i="14" s="1"/>
  <c r="A1387" i="14" s="1"/>
  <c r="A1388" i="14" s="1"/>
  <c r="A1389" i="14" s="1"/>
  <c r="A1390" i="14" s="1"/>
  <c r="A1391" i="14" s="1"/>
  <c r="A1392" i="14" s="1"/>
  <c r="A1393" i="14" s="1"/>
  <c r="A1394" i="14" s="1"/>
  <c r="A1395" i="14" s="1"/>
  <c r="A1396" i="14" s="1"/>
  <c r="A1397" i="14" s="1"/>
  <c r="A1398" i="14" s="1"/>
  <c r="A1399" i="14" s="1"/>
  <c r="A1400" i="14" s="1"/>
  <c r="A1401" i="14" s="1"/>
  <c r="A1402" i="14" s="1"/>
  <c r="A1403" i="14" s="1"/>
  <c r="A1404" i="14" s="1"/>
  <c r="A1405" i="14" s="1"/>
  <c r="A1406" i="14" s="1"/>
  <c r="A1407" i="14" s="1"/>
  <c r="A1408" i="14" s="1"/>
  <c r="A1409" i="14" s="1"/>
  <c r="A1410" i="14" s="1"/>
  <c r="A1411" i="14" s="1"/>
  <c r="A1412" i="14" s="1"/>
  <c r="A1413" i="14" s="1"/>
  <c r="A1414" i="14" s="1"/>
  <c r="A1415" i="14" s="1"/>
  <c r="A1416" i="14" s="1"/>
  <c r="A1417" i="14" s="1"/>
  <c r="A1418" i="14" s="1"/>
  <c r="A1419" i="14" s="1"/>
  <c r="A1420" i="14" s="1"/>
  <c r="A1421" i="14" s="1"/>
  <c r="A1422" i="14" s="1"/>
  <c r="A1423" i="14" s="1"/>
  <c r="A1424" i="14" s="1"/>
  <c r="A1425" i="14" s="1"/>
  <c r="A1426" i="14" s="1"/>
  <c r="A1427" i="14" s="1"/>
  <c r="A1428" i="14" s="1"/>
  <c r="A1429" i="14" s="1"/>
  <c r="A1430" i="14" s="1"/>
  <c r="A1431" i="14" s="1"/>
  <c r="A1432" i="14" s="1"/>
  <c r="A1433" i="14" s="1"/>
  <c r="A1434" i="14" s="1"/>
  <c r="A1435" i="14" s="1"/>
  <c r="A1436" i="14" s="1"/>
  <c r="A1437" i="14" s="1"/>
  <c r="A1438" i="14" s="1"/>
  <c r="A1439" i="14" s="1"/>
  <c r="A1440" i="14" s="1"/>
  <c r="A1441" i="14" s="1"/>
  <c r="A1442" i="14" s="1"/>
  <c r="A1443" i="14" s="1"/>
  <c r="A1444" i="14" s="1"/>
  <c r="A1445" i="14" s="1"/>
  <c r="A1446" i="14" s="1"/>
  <c r="A1447" i="14" s="1"/>
  <c r="A1448" i="14" s="1"/>
  <c r="A1449" i="14" s="1"/>
  <c r="A1450" i="14" s="1"/>
  <c r="A1451" i="14" s="1"/>
  <c r="A1452" i="14" s="1"/>
  <c r="A1453" i="14" s="1"/>
  <c r="A1454" i="14" s="1"/>
  <c r="A1455" i="14" s="1"/>
  <c r="A1456" i="14" s="1"/>
  <c r="A1457" i="14" s="1"/>
  <c r="A1458" i="14" s="1"/>
  <c r="A1459" i="14" s="1"/>
  <c r="A1460" i="14" s="1"/>
  <c r="A1461" i="14" s="1"/>
  <c r="A1462" i="14" s="1"/>
  <c r="A1463" i="14" s="1"/>
  <c r="A1464" i="14" s="1"/>
  <c r="A1465" i="14" s="1"/>
  <c r="A1466" i="14" s="1"/>
  <c r="A1467" i="14" s="1"/>
  <c r="A1468" i="14" s="1"/>
  <c r="A1469" i="14" s="1"/>
  <c r="A1470" i="14" s="1"/>
  <c r="A1471" i="14" s="1"/>
  <c r="A1472" i="14" s="1"/>
  <c r="A1473" i="14" s="1"/>
  <c r="A1474" i="14" s="1"/>
  <c r="A1475" i="14" s="1"/>
  <c r="A1476" i="14" s="1"/>
  <c r="A1477" i="14" s="1"/>
  <c r="A1478" i="14" s="1"/>
  <c r="A1479" i="14" s="1"/>
  <c r="A1480" i="14" s="1"/>
  <c r="A1481" i="14" s="1"/>
  <c r="A1482" i="14" s="1"/>
  <c r="A1483" i="14" s="1"/>
  <c r="A1484" i="14" s="1"/>
  <c r="A1485" i="14" s="1"/>
  <c r="A1486" i="14" s="1"/>
  <c r="A1487" i="14" s="1"/>
  <c r="A1488" i="14" s="1"/>
  <c r="A1489" i="14" s="1"/>
  <c r="A1490" i="14" s="1"/>
  <c r="A1491" i="14" s="1"/>
  <c r="A1492" i="14" s="1"/>
  <c r="A1493" i="14" s="1"/>
  <c r="A1494" i="14" s="1"/>
  <c r="A1495" i="14" s="1"/>
  <c r="A1496" i="14" s="1"/>
  <c r="A1497" i="14" s="1"/>
  <c r="A1498" i="14" s="1"/>
  <c r="A1499" i="14" s="1"/>
  <c r="A1500" i="14" s="1"/>
  <c r="A1501" i="14" s="1"/>
  <c r="A1502" i="14" s="1"/>
  <c r="A1503" i="14" s="1"/>
  <c r="A1504" i="14" s="1"/>
  <c r="A1505" i="14" s="1"/>
  <c r="A1506" i="14" s="1"/>
  <c r="A1507" i="14" s="1"/>
  <c r="A1508" i="14" s="1"/>
  <c r="A1509" i="14" s="1"/>
  <c r="A1510" i="14" s="1"/>
  <c r="A1511" i="14" s="1"/>
  <c r="A1512" i="14" s="1"/>
  <c r="A1513" i="14" s="1"/>
  <c r="A1514" i="14" s="1"/>
  <c r="A1515" i="14" s="1"/>
  <c r="A1516" i="14" s="1"/>
  <c r="A1517" i="14" s="1"/>
  <c r="A1518" i="14" s="1"/>
  <c r="A1519" i="14" s="1"/>
  <c r="A1520" i="14" s="1"/>
  <c r="A1521" i="14" s="1"/>
  <c r="A1522" i="14" s="1"/>
  <c r="A1523" i="14" s="1"/>
  <c r="A1524" i="14" s="1"/>
  <c r="A1525" i="14" s="1"/>
  <c r="A1526" i="14" s="1"/>
  <c r="A1527" i="14" s="1"/>
  <c r="A1528" i="14" s="1"/>
  <c r="A1529" i="14" s="1"/>
  <c r="A1530" i="14" s="1"/>
  <c r="A1531" i="14" s="1"/>
  <c r="A1532" i="14" s="1"/>
  <c r="A1533" i="14" s="1"/>
  <c r="A1534" i="14" s="1"/>
  <c r="A1535" i="14" s="1"/>
  <c r="A1536" i="14" s="1"/>
  <c r="A1537" i="14" s="1"/>
  <c r="A1538" i="14" s="1"/>
  <c r="A1539" i="14" s="1"/>
  <c r="A1540" i="14" s="1"/>
  <c r="A1541" i="14" s="1"/>
  <c r="A1542" i="14" s="1"/>
  <c r="A1543" i="14" s="1"/>
  <c r="A1544" i="14" s="1"/>
  <c r="A1545" i="14" s="1"/>
  <c r="A1546" i="14" s="1"/>
  <c r="A1547" i="14" s="1"/>
  <c r="A1548" i="14" s="1"/>
  <c r="A1549" i="14" s="1"/>
  <c r="A1550" i="14" s="1"/>
  <c r="A1551" i="14" s="1"/>
  <c r="A1552" i="14" s="1"/>
  <c r="A1553" i="14" s="1"/>
  <c r="A1554" i="14" s="1"/>
  <c r="A1555" i="14" s="1"/>
  <c r="A1556" i="14" s="1"/>
  <c r="A1557" i="14" s="1"/>
  <c r="A1558" i="14" s="1"/>
  <c r="A1559" i="14" s="1"/>
  <c r="A1560" i="14" s="1"/>
  <c r="A1561" i="14" s="1"/>
  <c r="A1562" i="14" s="1"/>
  <c r="A1563" i="14" s="1"/>
  <c r="A1564" i="14" s="1"/>
  <c r="A1565" i="14" s="1"/>
  <c r="A1566" i="14" s="1"/>
  <c r="A1567" i="14" s="1"/>
  <c r="A1568" i="14" s="1"/>
  <c r="A1569" i="14" s="1"/>
  <c r="A1570" i="14" s="1"/>
  <c r="A1571" i="14" s="1"/>
  <c r="A1572" i="14" s="1"/>
  <c r="A1573" i="14" s="1"/>
  <c r="A1574" i="14" s="1"/>
  <c r="A1575" i="14" s="1"/>
  <c r="A1576" i="14" s="1"/>
  <c r="A1577" i="14" s="1"/>
  <c r="A1578" i="14" s="1"/>
  <c r="A1579" i="14" s="1"/>
  <c r="A1580" i="14" s="1"/>
  <c r="A1581" i="14" s="1"/>
  <c r="A1582" i="14" s="1"/>
  <c r="N471" i="148"/>
  <c r="O471" i="148" s="1"/>
  <c r="I947" i="148"/>
  <c r="L947" i="148" s="1"/>
  <c r="F674" i="148"/>
  <c r="F432" i="148"/>
  <c r="N432" i="148" s="1"/>
  <c r="O432" i="148" s="1"/>
  <c r="N732" i="148"/>
  <c r="O732" i="148" s="1"/>
  <c r="I732" i="148"/>
  <c r="L732" i="148" s="1"/>
  <c r="I677" i="148"/>
  <c r="L677" i="148" s="1"/>
  <c r="N677" i="148"/>
  <c r="O677" i="148" s="1"/>
  <c r="N875" i="148"/>
  <c r="O875" i="148" s="1"/>
  <c r="N774" i="148"/>
  <c r="O774" i="148" s="1"/>
  <c r="I774" i="148"/>
  <c r="L774" i="148" s="1"/>
  <c r="N825" i="148"/>
  <c r="O825" i="148" s="1"/>
  <c r="I825" i="148"/>
  <c r="L825" i="148" s="1"/>
  <c r="N738" i="148"/>
  <c r="O738" i="148" s="1"/>
  <c r="I738" i="148"/>
  <c r="L738" i="148" s="1"/>
  <c r="I808" i="148"/>
  <c r="L808" i="148" s="1"/>
  <c r="N808" i="148"/>
  <c r="O808" i="148" s="1"/>
  <c r="N780" i="148"/>
  <c r="O780" i="148" s="1"/>
  <c r="I780" i="148"/>
  <c r="L780" i="148" s="1"/>
  <c r="I827" i="148"/>
  <c r="L827" i="148" s="1"/>
  <c r="N827" i="148"/>
  <c r="O827" i="148" s="1"/>
  <c r="N807" i="148"/>
  <c r="O807" i="148" s="1"/>
  <c r="I807" i="148"/>
  <c r="L807" i="148" s="1"/>
  <c r="N762" i="148"/>
  <c r="O762" i="148" s="1"/>
  <c r="I762" i="148"/>
  <c r="L762" i="148" s="1"/>
  <c r="L737" i="148"/>
  <c r="N771" i="148"/>
  <c r="O771" i="148" s="1"/>
  <c r="I771" i="148"/>
  <c r="L771" i="148" s="1"/>
  <c r="N754" i="148"/>
  <c r="O754" i="148" s="1"/>
  <c r="I754" i="148"/>
  <c r="L754" i="148" s="1"/>
  <c r="N750" i="148"/>
  <c r="O750" i="148" s="1"/>
  <c r="I750" i="148"/>
  <c r="L750" i="148" s="1"/>
  <c r="I784" i="148"/>
  <c r="L784" i="148" s="1"/>
  <c r="N784" i="148"/>
  <c r="O784" i="148" s="1"/>
  <c r="I776" i="148"/>
  <c r="L776" i="148" s="1"/>
  <c r="N776" i="148"/>
  <c r="O776" i="148" s="1"/>
  <c r="N69" i="148"/>
  <c r="O69" i="148" s="1"/>
  <c r="I69" i="148"/>
  <c r="L69" i="148" s="1"/>
  <c r="I944" i="148"/>
  <c r="L944" i="148" s="1"/>
  <c r="I925" i="148"/>
  <c r="L925" i="148" s="1"/>
  <c r="N925" i="148"/>
  <c r="O925" i="148" s="1"/>
  <c r="I923" i="148"/>
  <c r="L923" i="148" s="1"/>
  <c r="N923" i="148"/>
  <c r="O923" i="148" s="1"/>
  <c r="I926" i="148"/>
  <c r="L926" i="148" s="1"/>
  <c r="N926" i="148"/>
  <c r="O926" i="148" s="1"/>
  <c r="N363" i="148"/>
  <c r="O363" i="148" s="1"/>
  <c r="I651" i="148"/>
  <c r="L651" i="148" s="1"/>
  <c r="N652" i="148"/>
  <c r="O652" i="148" s="1"/>
  <c r="N867" i="148"/>
  <c r="O867" i="148" s="1"/>
  <c r="I867" i="148"/>
  <c r="L867" i="148" s="1"/>
  <c r="N906" i="148"/>
  <c r="O906" i="148" s="1"/>
  <c r="I906" i="148"/>
  <c r="L906" i="148" s="1"/>
  <c r="N628" i="148"/>
  <c r="O628" i="148" s="1"/>
  <c r="N389" i="148"/>
  <c r="O389" i="148" s="1"/>
  <c r="I424" i="148"/>
  <c r="L424" i="148" s="1"/>
  <c r="N698" i="148"/>
  <c r="O698" i="148" s="1"/>
  <c r="I698" i="148"/>
  <c r="L698" i="148" s="1"/>
  <c r="N711" i="148"/>
  <c r="O711" i="148" s="1"/>
  <c r="I711" i="148"/>
  <c r="L711" i="148" s="1"/>
  <c r="N707" i="148"/>
  <c r="O707" i="148" s="1"/>
  <c r="I707" i="148"/>
  <c r="L707" i="148" s="1"/>
  <c r="F712" i="148"/>
  <c r="F394" i="148"/>
  <c r="N394" i="148" s="1"/>
  <c r="O394" i="148" s="1"/>
  <c r="N404" i="148"/>
  <c r="O404" i="148" s="1"/>
  <c r="N708" i="148"/>
  <c r="O708" i="148" s="1"/>
  <c r="I708" i="148"/>
  <c r="L708" i="148" s="1"/>
  <c r="I709" i="148"/>
  <c r="L709" i="148" s="1"/>
  <c r="N709" i="148"/>
  <c r="O709" i="148" s="1"/>
  <c r="I714" i="148"/>
  <c r="L714" i="148" s="1"/>
  <c r="N714" i="148"/>
  <c r="O714" i="148" s="1"/>
  <c r="N350" i="148"/>
  <c r="O350" i="148" s="1"/>
  <c r="I888" i="148"/>
  <c r="L888" i="148" s="1"/>
  <c r="N661" i="148"/>
  <c r="O661" i="148" s="1"/>
  <c r="N659" i="148"/>
  <c r="O659" i="148" s="1"/>
  <c r="I659" i="148"/>
  <c r="L659" i="148" s="1"/>
  <c r="I105" i="148"/>
  <c r="L105" i="148" s="1"/>
  <c r="G104" i="151"/>
  <c r="I412" i="148"/>
  <c r="L412" i="148" s="1"/>
  <c r="N412" i="148"/>
  <c r="O412" i="148" s="1"/>
  <c r="I330" i="148"/>
  <c r="L330" i="148" s="1"/>
  <c r="I548" i="148"/>
  <c r="L548" i="148" s="1"/>
  <c r="F329" i="148"/>
  <c r="I329" i="148" s="1"/>
  <c r="L329" i="148" s="1"/>
  <c r="G36" i="151"/>
  <c r="G156" i="151"/>
  <c r="I41" i="13"/>
  <c r="J1583" i="14" s="1"/>
  <c r="J1584" i="14" s="1"/>
  <c r="L914" i="148"/>
  <c r="I860" i="148"/>
  <c r="L860" i="148" s="1"/>
  <c r="N842" i="148"/>
  <c r="O842" i="148" s="1"/>
  <c r="I842" i="148"/>
  <c r="L842" i="148" s="1"/>
  <c r="I841" i="148"/>
  <c r="L841" i="148" s="1"/>
  <c r="I328" i="148"/>
  <c r="L328" i="148" s="1"/>
  <c r="N328" i="148"/>
  <c r="O328" i="148" s="1"/>
  <c r="I515" i="148"/>
  <c r="J6" i="227" s="1"/>
  <c r="J22" i="227" s="1"/>
  <c r="I702" i="148"/>
  <c r="L702" i="148" s="1"/>
  <c r="I854" i="148"/>
  <c r="L854" i="148" s="1"/>
  <c r="I629" i="148"/>
  <c r="L629" i="148" s="1"/>
  <c r="I878" i="148"/>
  <c r="L878" i="148" s="1"/>
  <c r="N488" i="148"/>
  <c r="O488" i="148" s="1"/>
  <c r="N570" i="148"/>
  <c r="O570" i="148" s="1"/>
  <c r="I437" i="148"/>
  <c r="L437" i="148" s="1"/>
  <c r="J1123" i="14"/>
  <c r="J1118" i="14"/>
  <c r="J1116" i="14"/>
  <c r="J1113" i="14"/>
  <c r="J1122" i="14"/>
  <c r="J1120" i="14"/>
  <c r="J1125" i="14"/>
  <c r="J1119" i="14"/>
  <c r="J1117" i="14"/>
  <c r="J1114" i="14"/>
  <c r="J1124" i="14"/>
  <c r="J1121" i="14"/>
  <c r="J1115" i="14"/>
  <c r="O284" i="148"/>
  <c r="I284" i="148"/>
  <c r="I368" i="148"/>
  <c r="L368" i="148" s="1"/>
  <c r="N368" i="148"/>
  <c r="O368" i="148" s="1"/>
  <c r="N679" i="148"/>
  <c r="O679" i="148" s="1"/>
  <c r="L658" i="148"/>
  <c r="J649" i="148"/>
  <c r="P8" i="26" s="1"/>
  <c r="N697" i="148"/>
  <c r="O697" i="148" s="1"/>
  <c r="I697" i="148"/>
  <c r="L697" i="148" s="1"/>
  <c r="N704" i="148"/>
  <c r="O704" i="148" s="1"/>
  <c r="I704" i="148"/>
  <c r="L704" i="148" s="1"/>
  <c r="I558" i="148"/>
  <c r="L7" i="227" s="1"/>
  <c r="L6" i="227" s="1"/>
  <c r="L12" i="227" s="1"/>
  <c r="I436" i="148"/>
  <c r="L436" i="148" s="1"/>
  <c r="I353" i="148"/>
  <c r="L353" i="148" s="1"/>
  <c r="N353" i="148"/>
  <c r="O353" i="148" s="1"/>
  <c r="N362" i="148"/>
  <c r="O362" i="148" s="1"/>
  <c r="I362" i="148"/>
  <c r="L362" i="148" s="1"/>
  <c r="N369" i="148"/>
  <c r="O369" i="148" s="1"/>
  <c r="I369" i="148"/>
  <c r="L369" i="148" s="1"/>
  <c r="I431" i="148"/>
  <c r="L431" i="148" s="1"/>
  <c r="N431" i="148"/>
  <c r="O431" i="148" s="1"/>
  <c r="I905" i="148"/>
  <c r="L905" i="148" s="1"/>
  <c r="N905" i="148"/>
  <c r="O905" i="148" s="1"/>
  <c r="N614" i="148"/>
  <c r="O614" i="148" s="1"/>
  <c r="I614" i="148"/>
  <c r="L614" i="148" s="1"/>
  <c r="N683" i="148"/>
  <c r="O683" i="148" s="1"/>
  <c r="I683" i="148"/>
  <c r="L683" i="148" s="1"/>
  <c r="N615" i="148"/>
  <c r="O615" i="148" s="1"/>
  <c r="I615" i="148"/>
  <c r="L615" i="148" s="1"/>
  <c r="I482" i="148"/>
  <c r="L482" i="148" s="1"/>
  <c r="N482" i="148"/>
  <c r="O482" i="148" s="1"/>
  <c r="I858" i="148"/>
  <c r="L858" i="148" s="1"/>
  <c r="N858" i="148"/>
  <c r="O858" i="148" s="1"/>
  <c r="N620" i="148"/>
  <c r="O620" i="148" s="1"/>
  <c r="I620" i="148"/>
  <c r="L620" i="148" s="1"/>
  <c r="I469" i="148"/>
  <c r="L469" i="148" s="1"/>
  <c r="N469" i="148"/>
  <c r="O469" i="148" s="1"/>
  <c r="I647" i="148"/>
  <c r="L647" i="148" s="1"/>
  <c r="N647" i="148"/>
  <c r="O647" i="148" s="1"/>
  <c r="N646" i="148"/>
  <c r="O646" i="148" s="1"/>
  <c r="I646" i="148"/>
  <c r="L646" i="148" s="1"/>
  <c r="N645" i="148"/>
  <c r="O645" i="148" s="1"/>
  <c r="I645" i="148"/>
  <c r="L645" i="148" s="1"/>
  <c r="N396" i="148"/>
  <c r="O396" i="148" s="1"/>
  <c r="I396" i="148"/>
  <c r="L396" i="148" s="1"/>
  <c r="I147" i="148"/>
  <c r="L147" i="148" s="1"/>
  <c r="N147" i="148"/>
  <c r="O147" i="148" s="1"/>
  <c r="I481" i="148"/>
  <c r="L481" i="148" s="1"/>
  <c r="N481" i="148"/>
  <c r="O481" i="148" s="1"/>
  <c r="I212" i="148"/>
  <c r="L212" i="148" s="1"/>
  <c r="N212" i="148"/>
  <c r="O212" i="148" s="1"/>
  <c r="O202" i="148" s="1"/>
  <c r="N593" i="148"/>
  <c r="O593" i="148" s="1"/>
  <c r="I593" i="148"/>
  <c r="L593" i="148" s="1"/>
  <c r="I490" i="148"/>
  <c r="L490" i="148" s="1"/>
  <c r="N490" i="148"/>
  <c r="O490" i="148" s="1"/>
  <c r="I113" i="148"/>
  <c r="L113" i="148" s="1"/>
  <c r="N113" i="148"/>
  <c r="O113" i="148" s="1"/>
  <c r="N459" i="148"/>
  <c r="O459" i="148" s="1"/>
  <c r="I459" i="148"/>
  <c r="L459" i="148" s="1"/>
  <c r="I634" i="148"/>
  <c r="L634" i="148" s="1"/>
  <c r="N634" i="148"/>
  <c r="O634" i="148" s="1"/>
  <c r="L679" i="148"/>
  <c r="O673" i="148"/>
  <c r="I673" i="148"/>
  <c r="L673" i="148" s="1"/>
  <c r="I672" i="148"/>
  <c r="L672" i="148" s="1"/>
  <c r="N672" i="148"/>
  <c r="O672" i="148" s="1"/>
  <c r="N671" i="148"/>
  <c r="O671" i="148" s="1"/>
  <c r="I671" i="148"/>
  <c r="L671" i="148" s="1"/>
  <c r="I108" i="148"/>
  <c r="L108" i="148" s="1"/>
  <c r="N108" i="148"/>
  <c r="O108" i="148" s="1"/>
  <c r="I880" i="148"/>
  <c r="L880" i="148" s="1"/>
  <c r="N880" i="148"/>
  <c r="O880" i="148" s="1"/>
  <c r="N322" i="148"/>
  <c r="O322" i="148" s="1"/>
  <c r="L413" i="148"/>
  <c r="H6" i="227"/>
  <c r="I8" i="13"/>
  <c r="G45" i="13"/>
  <c r="L518" i="148"/>
  <c r="I232" i="148"/>
  <c r="L232" i="148" s="1"/>
  <c r="N560" i="148"/>
  <c r="O560" i="148" s="1"/>
  <c r="L560" i="148"/>
  <c r="L445" i="148"/>
  <c r="N445" i="148"/>
  <c r="O445" i="148" s="1"/>
  <c r="O937" i="148"/>
  <c r="I937" i="148"/>
  <c r="C28" i="49"/>
  <c r="J12" i="227" l="1"/>
  <c r="J13" i="227"/>
  <c r="J21" i="227"/>
  <c r="J11" i="227"/>
  <c r="O515" i="148"/>
  <c r="A32" i="148"/>
  <c r="A33" i="148" s="1"/>
  <c r="A34" i="148" s="1"/>
  <c r="A35" i="148" s="1"/>
  <c r="A36" i="148" s="1"/>
  <c r="A37" i="148" s="1"/>
  <c r="A38" i="148" s="1"/>
  <c r="A39" i="148" s="1"/>
  <c r="A40" i="148" s="1"/>
  <c r="A41" i="148" s="1"/>
  <c r="A42" i="148" s="1"/>
  <c r="A43" i="148" s="1"/>
  <c r="A44" i="148" s="1"/>
  <c r="A45" i="148" s="1"/>
  <c r="A46" i="148" s="1"/>
  <c r="A47" i="148" s="1"/>
  <c r="A48" i="148" s="1"/>
  <c r="A49" i="148" s="1"/>
  <c r="A50" i="148" s="1"/>
  <c r="A51" i="148" s="1"/>
  <c r="A52" i="148" s="1"/>
  <c r="A53" i="148" s="1"/>
  <c r="A54" i="148" s="1"/>
  <c r="A55" i="148" s="1"/>
  <c r="A56" i="148" s="1"/>
  <c r="A57" i="148" s="1"/>
  <c r="A58" i="148" s="1"/>
  <c r="A59" i="148" s="1"/>
  <c r="A60" i="148" s="1"/>
  <c r="A61" i="148" s="1"/>
  <c r="A62" i="148" s="1"/>
  <c r="A63" i="148" s="1"/>
  <c r="A64" i="148" s="1"/>
  <c r="A65" i="148" s="1"/>
  <c r="A66" i="148" s="1"/>
  <c r="A67" i="148" s="1"/>
  <c r="A68" i="148" s="1"/>
  <c r="A69" i="148" s="1"/>
  <c r="A70" i="148" s="1"/>
  <c r="A71" i="148" s="1"/>
  <c r="A72" i="148" s="1"/>
  <c r="A73" i="148" s="1"/>
  <c r="A74" i="148" s="1"/>
  <c r="A75" i="148" s="1"/>
  <c r="A76" i="148" s="1"/>
  <c r="A77" i="148" s="1"/>
  <c r="A78" i="148" s="1"/>
  <c r="A79" i="148" s="1"/>
  <c r="A80" i="148" s="1"/>
  <c r="A81" i="148" s="1"/>
  <c r="A82" i="148" s="1"/>
  <c r="A83" i="148" s="1"/>
  <c r="A84" i="148" s="1"/>
  <c r="A85" i="148" s="1"/>
  <c r="A86" i="148" s="1"/>
  <c r="A87" i="148" s="1"/>
  <c r="A88" i="148" s="1"/>
  <c r="A89" i="148" s="1"/>
  <c r="A90" i="148" s="1"/>
  <c r="A91" i="148" s="1"/>
  <c r="A92" i="148" s="1"/>
  <c r="A93" i="148" s="1"/>
  <c r="A94" i="148" s="1"/>
  <c r="A95" i="148" s="1"/>
  <c r="A96" i="148" s="1"/>
  <c r="A97" i="148" s="1"/>
  <c r="A98" i="148" s="1"/>
  <c r="A99" i="148" s="1"/>
  <c r="A100" i="148" s="1"/>
  <c r="A101" i="148" s="1"/>
  <c r="A102" i="148" s="1"/>
  <c r="A103" i="148" s="1"/>
  <c r="A104" i="148" s="1"/>
  <c r="A105" i="148" s="1"/>
  <c r="A106" i="148" s="1"/>
  <c r="A107" i="148" s="1"/>
  <c r="A108" i="148" s="1"/>
  <c r="A109" i="148" s="1"/>
  <c r="A110" i="148" s="1"/>
  <c r="A111" i="148" s="1"/>
  <c r="A112" i="148" s="1"/>
  <c r="A113" i="148" s="1"/>
  <c r="A114" i="148" s="1"/>
  <c r="A115" i="148" s="1"/>
  <c r="A116" i="148" s="1"/>
  <c r="A117" i="148" s="1"/>
  <c r="A118" i="148" s="1"/>
  <c r="A119" i="148" s="1"/>
  <c r="A120" i="148" s="1"/>
  <c r="A121" i="148" s="1"/>
  <c r="A122" i="148" s="1"/>
  <c r="A123" i="148" s="1"/>
  <c r="A124" i="148" s="1"/>
  <c r="A125" i="148" s="1"/>
  <c r="A126" i="148" s="1"/>
  <c r="A127" i="148" s="1"/>
  <c r="A128" i="148" s="1"/>
  <c r="A129" i="148" s="1"/>
  <c r="A130" i="148" s="1"/>
  <c r="A131" i="148" s="1"/>
  <c r="A132" i="148" s="1"/>
  <c r="A133" i="148" s="1"/>
  <c r="A134" i="148" s="1"/>
  <c r="A135" i="148" s="1"/>
  <c r="A136" i="148" s="1"/>
  <c r="A137" i="148" s="1"/>
  <c r="A138" i="148" s="1"/>
  <c r="A139" i="148" s="1"/>
  <c r="A140" i="148" s="1"/>
  <c r="A141" i="148" s="1"/>
  <c r="A142" i="148" s="1"/>
  <c r="A143" i="148" s="1"/>
  <c r="A144" i="148" s="1"/>
  <c r="A145" i="148" s="1"/>
  <c r="A146" i="148" s="1"/>
  <c r="A147" i="148" s="1"/>
  <c r="A148" i="148" s="1"/>
  <c r="A149" i="148" s="1"/>
  <c r="A150" i="148" s="1"/>
  <c r="A151" i="148" s="1"/>
  <c r="A152" i="148" s="1"/>
  <c r="A153" i="148" s="1"/>
  <c r="A154" i="148" s="1"/>
  <c r="A155" i="148" s="1"/>
  <c r="A156" i="148" s="1"/>
  <c r="A157" i="148" s="1"/>
  <c r="A158" i="148" s="1"/>
  <c r="A159" i="148" s="1"/>
  <c r="A160" i="148" s="1"/>
  <c r="A161" i="148" s="1"/>
  <c r="A162" i="148" s="1"/>
  <c r="A163" i="148" s="1"/>
  <c r="A164" i="148" s="1"/>
  <c r="A165" i="148" s="1"/>
  <c r="A166" i="148" s="1"/>
  <c r="A167" i="148" s="1"/>
  <c r="A168" i="148" s="1"/>
  <c r="A169" i="148" s="1"/>
  <c r="A170" i="148" s="1"/>
  <c r="A171" i="148" s="1"/>
  <c r="A172" i="148" s="1"/>
  <c r="A173" i="148" s="1"/>
  <c r="A174" i="148" s="1"/>
  <c r="A175" i="148" s="1"/>
  <c r="A176" i="148" s="1"/>
  <c r="A177" i="148" s="1"/>
  <c r="A178" i="148" s="1"/>
  <c r="A179" i="148" s="1"/>
  <c r="A180" i="148" s="1"/>
  <c r="A181" i="148" s="1"/>
  <c r="A182" i="148" s="1"/>
  <c r="A183" i="148" s="1"/>
  <c r="A184" i="148" s="1"/>
  <c r="A185" i="148" s="1"/>
  <c r="A186" i="148" s="1"/>
  <c r="I610" i="148"/>
  <c r="L610" i="148" s="1"/>
  <c r="I500" i="148"/>
  <c r="L500" i="148" s="1"/>
  <c r="N579" i="148"/>
  <c r="O579" i="148" s="1"/>
  <c r="O573" i="148" s="1"/>
  <c r="I477" i="148"/>
  <c r="L477" i="148" s="1"/>
  <c r="N32" i="148"/>
  <c r="O32" i="148" s="1"/>
  <c r="I394" i="148"/>
  <c r="L394" i="148" s="1"/>
  <c r="I432" i="148"/>
  <c r="L432" i="148" s="1"/>
  <c r="N329" i="148"/>
  <c r="O329" i="148" s="1"/>
  <c r="A41" i="13"/>
  <c r="A1583" i="14"/>
  <c r="A1584" i="14" s="1"/>
  <c r="A1585" i="14" s="1"/>
  <c r="A1586" i="14" s="1"/>
  <c r="A1587" i="14" s="1"/>
  <c r="A1588" i="14" s="1"/>
  <c r="A1589" i="14" s="1"/>
  <c r="A1590" i="14" s="1"/>
  <c r="A1591" i="14" s="1"/>
  <c r="A1592" i="14" s="1"/>
  <c r="A1593" i="14" s="1"/>
  <c r="A1594" i="14" s="1"/>
  <c r="A1595" i="14" s="1"/>
  <c r="A1596" i="14" s="1"/>
  <c r="A1597" i="14" s="1"/>
  <c r="A1598" i="14" s="1"/>
  <c r="A1599" i="14" s="1"/>
  <c r="A1600" i="14" s="1"/>
  <c r="A1601" i="14" s="1"/>
  <c r="A1602" i="14" s="1"/>
  <c r="A1603" i="14" s="1"/>
  <c r="A1604" i="14" s="1"/>
  <c r="A1605" i="14" s="1"/>
  <c r="A1606" i="14" s="1"/>
  <c r="A1607" i="14" s="1"/>
  <c r="A1608" i="14" s="1"/>
  <c r="A1609" i="14" s="1"/>
  <c r="A1610" i="14" s="1"/>
  <c r="A1611" i="14" s="1"/>
  <c r="N674" i="148"/>
  <c r="O674" i="148" s="1"/>
  <c r="I674" i="148"/>
  <c r="L674" i="148" s="1"/>
  <c r="O735" i="148"/>
  <c r="I735" i="148"/>
  <c r="J1615" i="14"/>
  <c r="I712" i="148"/>
  <c r="L712" i="148" s="1"/>
  <c r="N712" i="148"/>
  <c r="O712" i="148" s="1"/>
  <c r="O649" i="148" s="1"/>
  <c r="J1598" i="14"/>
  <c r="J1613" i="14"/>
  <c r="J1612" i="14"/>
  <c r="J1614" i="14"/>
  <c r="J1596" i="14"/>
  <c r="G143" i="151"/>
  <c r="A14" i="151"/>
  <c r="A15" i="151" s="1"/>
  <c r="A16" i="151" s="1"/>
  <c r="A17" i="151" s="1"/>
  <c r="A18" i="151" s="1"/>
  <c r="A19" i="151" s="1"/>
  <c r="A20" i="151" s="1"/>
  <c r="A21" i="151" s="1"/>
  <c r="A22" i="151" s="1"/>
  <c r="A23" i="151" s="1"/>
  <c r="A24" i="151" s="1"/>
  <c r="A25" i="151" s="1"/>
  <c r="A26" i="151" s="1"/>
  <c r="A27" i="151" s="1"/>
  <c r="A28" i="151" s="1"/>
  <c r="A29" i="151" s="1"/>
  <c r="A30" i="151" s="1"/>
  <c r="A31" i="151" s="1"/>
  <c r="A32" i="151" s="1"/>
  <c r="A33" i="151" s="1"/>
  <c r="A34" i="151" s="1"/>
  <c r="A35" i="151" s="1"/>
  <c r="A36" i="151" s="1"/>
  <c r="A37" i="151" s="1"/>
  <c r="A38" i="151" s="1"/>
  <c r="A39" i="151" s="1"/>
  <c r="A40" i="151" s="1"/>
  <c r="A41" i="151" s="1"/>
  <c r="A42" i="151" s="1"/>
  <c r="A43" i="151" s="1"/>
  <c r="A44" i="151" s="1"/>
  <c r="A45" i="151" s="1"/>
  <c r="A46" i="151" s="1"/>
  <c r="A47" i="151" s="1"/>
  <c r="A48" i="151" s="1"/>
  <c r="A49" i="151" s="1"/>
  <c r="A50" i="151" s="1"/>
  <c r="A51" i="151" s="1"/>
  <c r="A52" i="151" s="1"/>
  <c r="A53" i="151" s="1"/>
  <c r="A54" i="151" s="1"/>
  <c r="A55" i="151" s="1"/>
  <c r="A56" i="151" s="1"/>
  <c r="A57" i="151" s="1"/>
  <c r="A58" i="151" s="1"/>
  <c r="A59" i="151" s="1"/>
  <c r="A60" i="151" s="1"/>
  <c r="A61" i="151" s="1"/>
  <c r="A62" i="151" s="1"/>
  <c r="A63" i="151" s="1"/>
  <c r="A64" i="151" s="1"/>
  <c r="A65" i="151" s="1"/>
  <c r="A66" i="151" s="1"/>
  <c r="A67" i="151" s="1"/>
  <c r="A68" i="151" s="1"/>
  <c r="A69" i="151" s="1"/>
  <c r="A70" i="151" s="1"/>
  <c r="A71" i="151" s="1"/>
  <c r="A72" i="151" s="1"/>
  <c r="A73" i="151" s="1"/>
  <c r="A74" i="151" s="1"/>
  <c r="A75" i="151" s="1"/>
  <c r="A76" i="151" s="1"/>
  <c r="A77" i="151" s="1"/>
  <c r="A78" i="151" s="1"/>
  <c r="A79" i="151" s="1"/>
  <c r="A80" i="151" s="1"/>
  <c r="A81" i="151" s="1"/>
  <c r="A82" i="151" s="1"/>
  <c r="A83" i="151" s="1"/>
  <c r="A84" i="151" s="1"/>
  <c r="A85" i="151" s="1"/>
  <c r="A86" i="151" s="1"/>
  <c r="A87" i="151" s="1"/>
  <c r="A88" i="151" s="1"/>
  <c r="A89" i="151" s="1"/>
  <c r="A90" i="151" s="1"/>
  <c r="A91" i="151" s="1"/>
  <c r="A92" i="151" s="1"/>
  <c r="A93" i="151" s="1"/>
  <c r="A94" i="151" s="1"/>
  <c r="A95" i="151" s="1"/>
  <c r="A96" i="151" s="1"/>
  <c r="A97" i="151" s="1"/>
  <c r="A98" i="151" s="1"/>
  <c r="A99" i="151" s="1"/>
  <c r="A100" i="151" s="1"/>
  <c r="A101" i="151" s="1"/>
  <c r="A102" i="151" s="1"/>
  <c r="A103" i="151" s="1"/>
  <c r="A104" i="151" s="1"/>
  <c r="A105" i="151" s="1"/>
  <c r="A106" i="151" s="1"/>
  <c r="A107" i="151" s="1"/>
  <c r="A108" i="151" s="1"/>
  <c r="A109" i="151" s="1"/>
  <c r="A110" i="151" s="1"/>
  <c r="A111" i="151" s="1"/>
  <c r="A112" i="151" s="1"/>
  <c r="A113" i="151" s="1"/>
  <c r="A114" i="151" s="1"/>
  <c r="A115" i="151" s="1"/>
  <c r="A116" i="151" s="1"/>
  <c r="A117" i="151" s="1"/>
  <c r="A118" i="151" s="1"/>
  <c r="A119" i="151" s="1"/>
  <c r="A120" i="151" s="1"/>
  <c r="A121" i="151" s="1"/>
  <c r="A122" i="151" s="1"/>
  <c r="A123" i="151" s="1"/>
  <c r="A124" i="151" s="1"/>
  <c r="A125" i="151" s="1"/>
  <c r="A126" i="151" s="1"/>
  <c r="A127" i="151" s="1"/>
  <c r="A128" i="151" s="1"/>
  <c r="A129" i="151" s="1"/>
  <c r="A130" i="151" s="1"/>
  <c r="A131" i="151" s="1"/>
  <c r="A132" i="151" s="1"/>
  <c r="A133" i="151" s="1"/>
  <c r="A134" i="151" s="1"/>
  <c r="A135" i="151" s="1"/>
  <c r="A136" i="151" s="1"/>
  <c r="A137" i="151" s="1"/>
  <c r="A138" i="151" s="1"/>
  <c r="A139" i="151" s="1"/>
  <c r="A140" i="151" s="1"/>
  <c r="A141" i="151" s="1"/>
  <c r="A142" i="151" s="1"/>
  <c r="N331" i="148"/>
  <c r="O331" i="148" s="1"/>
  <c r="I331" i="148"/>
  <c r="L331" i="148" s="1"/>
  <c r="J1599" i="14"/>
  <c r="J1597" i="14"/>
  <c r="J1611" i="14"/>
  <c r="J1595" i="14"/>
  <c r="J1610" i="14"/>
  <c r="J1594" i="14"/>
  <c r="J1609" i="14"/>
  <c r="J1593" i="14"/>
  <c r="J1608" i="14"/>
  <c r="J1592" i="14"/>
  <c r="J1607" i="14"/>
  <c r="J1591" i="14"/>
  <c r="J1606" i="14"/>
  <c r="J1590" i="14"/>
  <c r="J1605" i="14"/>
  <c r="J1589" i="14"/>
  <c r="J1604" i="14"/>
  <c r="J1588" i="14"/>
  <c r="J1603" i="14"/>
  <c r="J1587" i="14"/>
  <c r="J1602" i="14"/>
  <c r="J1586" i="14"/>
  <c r="J1601" i="14"/>
  <c r="J1585" i="14"/>
  <c r="J1600" i="14"/>
  <c r="I839" i="148"/>
  <c r="O7" i="26" s="1"/>
  <c r="O6" i="26" s="1"/>
  <c r="I387" i="148"/>
  <c r="I7" i="26" s="1"/>
  <c r="I6" i="26" s="1"/>
  <c r="L284" i="148"/>
  <c r="I247" i="148"/>
  <c r="L247" i="148" s="1"/>
  <c r="L515" i="148"/>
  <c r="L22" i="227"/>
  <c r="I84" i="148"/>
  <c r="F7" i="227" s="1"/>
  <c r="F6" i="227" s="1"/>
  <c r="F11" i="227" s="1"/>
  <c r="L11" i="227"/>
  <c r="L13" i="227"/>
  <c r="L21" i="227"/>
  <c r="M8" i="227"/>
  <c r="S8" i="227" s="1"/>
  <c r="J961" i="148"/>
  <c r="O839" i="148"/>
  <c r="J10" i="227"/>
  <c r="J15" i="227" s="1"/>
  <c r="J16" i="227" s="1"/>
  <c r="L937" i="148"/>
  <c r="O7" i="227"/>
  <c r="O6" i="227" s="1"/>
  <c r="H12" i="227"/>
  <c r="H22" i="227"/>
  <c r="H13" i="227"/>
  <c r="H11" i="227"/>
  <c r="H21" i="227"/>
  <c r="J20" i="227"/>
  <c r="G46" i="13"/>
  <c r="E82" i="111" s="1"/>
  <c r="I45" i="13"/>
  <c r="I7" i="148"/>
  <c r="I138" i="148"/>
  <c r="L558" i="148"/>
  <c r="M7" i="26"/>
  <c r="M6" i="26" s="1"/>
  <c r="I573" i="148"/>
  <c r="L573" i="148" s="1"/>
  <c r="I422" i="148"/>
  <c r="K7" i="26"/>
  <c r="O387" i="148" l="1"/>
  <c r="O247" i="148" s="1"/>
  <c r="N7" i="26"/>
  <c r="N6" i="26" s="1"/>
  <c r="L735" i="148"/>
  <c r="L387" i="148"/>
  <c r="I649" i="148"/>
  <c r="P7" i="26" s="1"/>
  <c r="P6" i="26" s="1"/>
  <c r="P11" i="26" s="1"/>
  <c r="L20" i="227"/>
  <c r="A143" i="151"/>
  <c r="A144" i="151" s="1"/>
  <c r="A145" i="151" s="1"/>
  <c r="A146" i="151" s="1"/>
  <c r="A147" i="151" s="1"/>
  <c r="A148" i="151" s="1"/>
  <c r="A149" i="151" s="1"/>
  <c r="A150" i="151" s="1"/>
  <c r="A151" i="151" s="1"/>
  <c r="A152" i="151" s="1"/>
  <c r="A153" i="151" s="1"/>
  <c r="A154" i="151" s="1"/>
  <c r="A155" i="151" s="1"/>
  <c r="A156" i="151" s="1"/>
  <c r="A157" i="151" s="1"/>
  <c r="A158" i="151" s="1"/>
  <c r="A159" i="151" s="1"/>
  <c r="A160" i="151" s="1"/>
  <c r="A161" i="151" s="1"/>
  <c r="A162" i="151" s="1"/>
  <c r="A163" i="151" s="1"/>
  <c r="A164" i="151" s="1"/>
  <c r="A165" i="151" s="1"/>
  <c r="A166" i="151" s="1"/>
  <c r="A167" i="151" s="1"/>
  <c r="A168" i="151" s="1"/>
  <c r="A169" i="151" s="1"/>
  <c r="A170" i="151" s="1"/>
  <c r="A171" i="151" s="1"/>
  <c r="A172" i="151" s="1"/>
  <c r="A173" i="151" s="1"/>
  <c r="A174" i="151" s="1"/>
  <c r="A175" i="151" s="1"/>
  <c r="A176" i="151" s="1"/>
  <c r="A177" i="151" s="1"/>
  <c r="A178" i="151" s="1"/>
  <c r="A179" i="151" s="1"/>
  <c r="A180" i="151" s="1"/>
  <c r="A181" i="151" s="1"/>
  <c r="A182" i="151" s="1"/>
  <c r="A183" i="151" s="1"/>
  <c r="A184" i="151" s="1"/>
  <c r="A185" i="151" s="1"/>
  <c r="A186" i="151" s="1"/>
  <c r="A187" i="151" s="1"/>
  <c r="A188" i="151" s="1"/>
  <c r="A189" i="151" s="1"/>
  <c r="A190" i="151" s="1"/>
  <c r="A191" i="151" s="1"/>
  <c r="A192" i="151" s="1"/>
  <c r="F7" i="26"/>
  <c r="F6" i="26" s="1"/>
  <c r="F11" i="26" s="1"/>
  <c r="F12" i="227"/>
  <c r="N7" i="227"/>
  <c r="N6" i="227" s="1"/>
  <c r="N11" i="227" s="1"/>
  <c r="L839" i="148"/>
  <c r="I12" i="26"/>
  <c r="I11" i="26"/>
  <c r="I13" i="26"/>
  <c r="L84" i="148"/>
  <c r="L10" i="227"/>
  <c r="L15" i="227" s="1"/>
  <c r="L16" i="227" s="1"/>
  <c r="L17" i="227" s="1"/>
  <c r="L18" i="227" s="1"/>
  <c r="F13" i="227"/>
  <c r="T8" i="26"/>
  <c r="H10" i="227"/>
  <c r="H15" i="227" s="1"/>
  <c r="H16" i="227" s="1"/>
  <c r="H17" i="227" s="1"/>
  <c r="H18" i="227" s="1"/>
  <c r="L422" i="148"/>
  <c r="I6" i="227"/>
  <c r="L7" i="148"/>
  <c r="E7" i="227"/>
  <c r="H20" i="227"/>
  <c r="O22" i="227"/>
  <c r="O12" i="227"/>
  <c r="O13" i="227"/>
  <c r="O21" i="227"/>
  <c r="O11" i="227"/>
  <c r="J17" i="227"/>
  <c r="J18" i="227" s="1"/>
  <c r="G7" i="26"/>
  <c r="G7" i="227"/>
  <c r="I46" i="13"/>
  <c r="H36" i="112"/>
  <c r="E7" i="26"/>
  <c r="J7" i="26"/>
  <c r="J6" i="26" s="1"/>
  <c r="H7" i="26"/>
  <c r="H6" i="26" s="1"/>
  <c r="M21" i="26"/>
  <c r="M11" i="26"/>
  <c r="M12" i="26"/>
  <c r="M22" i="26"/>
  <c r="M13" i="26"/>
  <c r="O22" i="26"/>
  <c r="O11" i="26"/>
  <c r="O21" i="26"/>
  <c r="O13" i="26"/>
  <c r="O12" i="26"/>
  <c r="K6" i="26"/>
  <c r="N11" i="26" l="1"/>
  <c r="N13" i="26"/>
  <c r="N12" i="26"/>
  <c r="P12" i="26"/>
  <c r="P13" i="26"/>
  <c r="P22" i="26"/>
  <c r="P21" i="26"/>
  <c r="I961" i="148"/>
  <c r="M7" i="227"/>
  <c r="M6" i="227" s="1"/>
  <c r="M21" i="227" s="1"/>
  <c r="L649" i="148"/>
  <c r="F10" i="227"/>
  <c r="F15" i="227" s="1"/>
  <c r="F16" i="227" s="1"/>
  <c r="F17" i="227" s="1"/>
  <c r="F18" i="227" s="1"/>
  <c r="N21" i="227"/>
  <c r="F13" i="26"/>
  <c r="F12" i="26"/>
  <c r="N13" i="227"/>
  <c r="N12" i="227"/>
  <c r="N22" i="227"/>
  <c r="I10" i="26"/>
  <c r="I15" i="26" s="1"/>
  <c r="I16" i="26" s="1"/>
  <c r="J17" i="112" s="1"/>
  <c r="I36" i="112"/>
  <c r="N22" i="26"/>
  <c r="N21" i="26"/>
  <c r="O20" i="227"/>
  <c r="O10" i="227"/>
  <c r="O15" i="227" s="1"/>
  <c r="O16" i="227" s="1"/>
  <c r="O17" i="227" s="1"/>
  <c r="O18" i="227" s="1"/>
  <c r="E6" i="227"/>
  <c r="I12" i="227"/>
  <c r="I13" i="227"/>
  <c r="I11" i="227"/>
  <c r="J13" i="26"/>
  <c r="J12" i="26"/>
  <c r="J11" i="26"/>
  <c r="M20" i="26"/>
  <c r="O10" i="26"/>
  <c r="O15" i="26" s="1"/>
  <c r="O16" i="26" s="1"/>
  <c r="M10" i="26"/>
  <c r="M15" i="26" s="1"/>
  <c r="M16" i="26" s="1"/>
  <c r="M17" i="26" s="1"/>
  <c r="M18" i="26" s="1"/>
  <c r="O20" i="26"/>
  <c r="T7" i="26"/>
  <c r="H12" i="26"/>
  <c r="H11" i="26"/>
  <c r="K11" i="26"/>
  <c r="K12" i="26"/>
  <c r="K13" i="26"/>
  <c r="H13" i="26"/>
  <c r="H22" i="26"/>
  <c r="H21" i="26"/>
  <c r="K21" i="26"/>
  <c r="K22" i="26"/>
  <c r="P10" i="26" l="1"/>
  <c r="P15" i="26" s="1"/>
  <c r="P16" i="26" s="1"/>
  <c r="H21" i="112" s="1"/>
  <c r="I21" i="112" s="1"/>
  <c r="J21" i="112" s="1"/>
  <c r="N20" i="227"/>
  <c r="H20" i="112"/>
  <c r="I20" i="112" s="1"/>
  <c r="J20" i="112" s="1"/>
  <c r="P20" i="26"/>
  <c r="M12" i="227"/>
  <c r="M22" i="227"/>
  <c r="M20" i="227" s="1"/>
  <c r="M13" i="227"/>
  <c r="S7" i="227"/>
  <c r="M11" i="227"/>
  <c r="F10" i="26"/>
  <c r="F15" i="26" s="1"/>
  <c r="F16" i="26" s="1"/>
  <c r="F17" i="26" s="1"/>
  <c r="F18" i="26" s="1"/>
  <c r="N10" i="227"/>
  <c r="N15" i="227" s="1"/>
  <c r="N16" i="227" s="1"/>
  <c r="N17" i="227" s="1"/>
  <c r="N18" i="227" s="1"/>
  <c r="I17" i="26"/>
  <c r="I18" i="26" s="1"/>
  <c r="O17" i="26"/>
  <c r="O18" i="26" s="1"/>
  <c r="N10" i="26"/>
  <c r="N15" i="26" s="1"/>
  <c r="N16" i="26" s="1"/>
  <c r="N20" i="26"/>
  <c r="I10" i="227"/>
  <c r="I15" i="227" s="1"/>
  <c r="I16" i="227" s="1"/>
  <c r="I17" i="227" s="1"/>
  <c r="I18" i="227" s="1"/>
  <c r="E22" i="227"/>
  <c r="E13" i="227"/>
  <c r="E11" i="227"/>
  <c r="E21" i="227"/>
  <c r="E12" i="227"/>
  <c r="J10" i="26"/>
  <c r="J15" i="26" s="1"/>
  <c r="J16" i="26" s="1"/>
  <c r="H18" i="112" s="1"/>
  <c r="I18" i="112" s="1"/>
  <c r="J18" i="112" s="1"/>
  <c r="H20" i="26"/>
  <c r="K10" i="26"/>
  <c r="K15" i="26" s="1"/>
  <c r="K16" i="26" s="1"/>
  <c r="I23" i="112" s="1"/>
  <c r="K20" i="26"/>
  <c r="H10" i="26"/>
  <c r="H15" i="26" s="1"/>
  <c r="H16" i="26" s="1"/>
  <c r="H16" i="112" s="1"/>
  <c r="P17" i="26" l="1"/>
  <c r="P18" i="26" s="1"/>
  <c r="N17" i="26"/>
  <c r="N18" i="26" s="1"/>
  <c r="H19" i="112"/>
  <c r="I19" i="112" s="1"/>
  <c r="J19" i="112" s="1"/>
  <c r="S22" i="227"/>
  <c r="M10" i="227"/>
  <c r="M15" i="227" s="1"/>
  <c r="M16" i="227" s="1"/>
  <c r="M17" i="227" s="1"/>
  <c r="M18" i="227" s="1"/>
  <c r="I16" i="112"/>
  <c r="J16" i="112" s="1"/>
  <c r="J17" i="26"/>
  <c r="S21" i="227"/>
  <c r="E20" i="227"/>
  <c r="S20" i="227" s="1"/>
  <c r="E10" i="227"/>
  <c r="H17" i="26"/>
  <c r="H18" i="26" s="1"/>
  <c r="K17" i="26"/>
  <c r="J18" i="26" l="1"/>
  <c r="E15" i="227"/>
  <c r="K18" i="26"/>
  <c r="F16" i="112" l="1"/>
  <c r="F17" i="112" s="1"/>
  <c r="F18" i="112" s="1"/>
  <c r="F19" i="112" s="1"/>
  <c r="F20" i="112" s="1"/>
  <c r="F21" i="112" s="1"/>
  <c r="F22" i="112" s="1"/>
  <c r="E16" i="227"/>
  <c r="G50" i="112"/>
  <c r="E17" i="227" l="1"/>
  <c r="E18" i="227" s="1"/>
  <c r="J36" i="112"/>
  <c r="F36" i="112" l="1"/>
  <c r="C100" i="111" l="1"/>
  <c r="E100" i="111" s="1"/>
  <c r="C102" i="111"/>
  <c r="D102" i="111" s="1"/>
  <c r="C101" i="111"/>
  <c r="D101" i="111" s="1"/>
  <c r="C99" i="111"/>
  <c r="D99" i="111" s="1"/>
  <c r="G49" i="112" s="1"/>
  <c r="E99" i="111" l="1"/>
  <c r="E101" i="111"/>
  <c r="D100" i="111"/>
  <c r="E102" i="111"/>
  <c r="H56" i="112" s="1"/>
  <c r="I56" i="112" s="1"/>
  <c r="J49" i="112" l="1"/>
  <c r="F49" i="112" s="1"/>
  <c r="H49" i="112"/>
  <c r="I49" i="112" s="1"/>
  <c r="J58" i="112"/>
  <c r="J59" i="112"/>
  <c r="J60" i="112"/>
  <c r="J61" i="112"/>
  <c r="G58" i="112"/>
  <c r="G60" i="112"/>
  <c r="G59" i="112"/>
  <c r="G61" i="112"/>
  <c r="H187" i="148"/>
  <c r="K187" i="148" s="1"/>
  <c r="N187" i="148" l="1"/>
  <c r="O187" i="148" s="1"/>
  <c r="O7" i="148" s="1"/>
  <c r="O961" i="148" s="1"/>
  <c r="L187" i="148"/>
  <c r="A187" i="148" s="1"/>
  <c r="A188" i="148" s="1"/>
  <c r="A189" i="148" s="1"/>
  <c r="A190" i="148" s="1"/>
  <c r="A191" i="148" s="1"/>
  <c r="A192" i="148" s="1"/>
  <c r="A193" i="148" s="1"/>
  <c r="A194" i="148" s="1"/>
  <c r="A195" i="148" s="1"/>
  <c r="A196" i="148" s="1"/>
  <c r="A197" i="148" s="1"/>
  <c r="A198" i="148" s="1"/>
  <c r="A199" i="148" s="1"/>
  <c r="A200" i="148" s="1"/>
  <c r="A201" i="148" s="1"/>
  <c r="A202" i="148" s="1"/>
  <c r="A203" i="148" s="1"/>
  <c r="A204" i="148" s="1"/>
  <c r="A205" i="148" s="1"/>
  <c r="A206" i="148" s="1"/>
  <c r="A207" i="148" s="1"/>
  <c r="A208" i="148" s="1"/>
  <c r="A209" i="148" s="1"/>
  <c r="A210" i="148" s="1"/>
  <c r="A211" i="148" s="1"/>
  <c r="A212" i="148" s="1"/>
  <c r="A213" i="148" s="1"/>
  <c r="A214" i="148" s="1"/>
  <c r="A215" i="148" s="1"/>
  <c r="A216" i="148" s="1"/>
  <c r="A217" i="148" s="1"/>
  <c r="A218" i="148" s="1"/>
  <c r="A219" i="148" s="1"/>
  <c r="A220" i="148" s="1"/>
  <c r="A221" i="148" s="1"/>
  <c r="A222" i="148" s="1"/>
  <c r="A223" i="148" s="1"/>
  <c r="A224" i="148" s="1"/>
  <c r="A225" i="148" s="1"/>
  <c r="A226" i="148" s="1"/>
  <c r="A227" i="148" s="1"/>
  <c r="A228" i="148" s="1"/>
  <c r="A229" i="148" s="1"/>
  <c r="A230" i="148" s="1"/>
  <c r="A231" i="148" s="1"/>
  <c r="A232" i="148" s="1"/>
  <c r="A233" i="148" s="1"/>
  <c r="A234" i="148" s="1"/>
  <c r="A235" i="148" s="1"/>
  <c r="A236" i="148" s="1"/>
  <c r="A237" i="148" s="1"/>
  <c r="A238" i="148" s="1"/>
  <c r="A239" i="148" s="1"/>
  <c r="A240" i="148" s="1"/>
  <c r="A241" i="148" s="1"/>
  <c r="A242" i="148" s="1"/>
  <c r="A243" i="148" s="1"/>
  <c r="A244" i="148" s="1"/>
  <c r="A245" i="148" s="1"/>
  <c r="A246" i="148" s="1"/>
  <c r="A247" i="148" s="1"/>
  <c r="A248" i="148" s="1"/>
  <c r="A249" i="148" s="1"/>
  <c r="A250" i="148" s="1"/>
  <c r="A251" i="148" s="1"/>
  <c r="A252" i="148" s="1"/>
  <c r="A253" i="148" s="1"/>
  <c r="A254" i="148" s="1"/>
  <c r="A255" i="148" s="1"/>
  <c r="A256" i="148" s="1"/>
  <c r="A257" i="148" s="1"/>
  <c r="A258" i="148" s="1"/>
  <c r="A259" i="148" s="1"/>
  <c r="A260" i="148" s="1"/>
  <c r="A261" i="148" s="1"/>
  <c r="A262" i="148" s="1"/>
  <c r="A263" i="148" s="1"/>
  <c r="A264" i="148" s="1"/>
  <c r="A265" i="148" s="1"/>
  <c r="A266" i="148" s="1"/>
  <c r="A267" i="148" s="1"/>
  <c r="A268" i="148" s="1"/>
  <c r="A269" i="148" s="1"/>
  <c r="A270" i="148" s="1"/>
  <c r="A271" i="148" s="1"/>
  <c r="A272" i="148" s="1"/>
  <c r="A273" i="148" s="1"/>
  <c r="A274" i="148" s="1"/>
  <c r="A275" i="148" s="1"/>
  <c r="A276" i="148" s="1"/>
  <c r="A277" i="148" s="1"/>
  <c r="A278" i="148" s="1"/>
  <c r="H4" i="310" l="1"/>
  <c r="A279" i="148"/>
  <c r="A280" i="148" s="1"/>
  <c r="A281" i="148" s="1"/>
  <c r="A282" i="148" s="1"/>
  <c r="A283" i="148" s="1"/>
  <c r="A284" i="148" s="1"/>
  <c r="A285" i="148" s="1"/>
  <c r="A286" i="148" s="1"/>
  <c r="A287" i="148" s="1"/>
  <c r="A288" i="148" s="1"/>
  <c r="A289" i="148" s="1"/>
  <c r="A290" i="148" s="1"/>
  <c r="A291" i="148" s="1"/>
  <c r="A292" i="148" s="1"/>
  <c r="A293" i="148" s="1"/>
  <c r="A294" i="148" s="1"/>
  <c r="A295" i="148" s="1"/>
  <c r="A296" i="148" s="1"/>
  <c r="A297" i="148" s="1"/>
  <c r="A298" i="148" s="1"/>
  <c r="A299" i="148" s="1"/>
  <c r="A300" i="148" s="1"/>
  <c r="A301" i="148" s="1"/>
  <c r="A302" i="148" s="1"/>
  <c r="A303" i="148" s="1"/>
  <c r="A304" i="148" s="1"/>
  <c r="A305" i="148" s="1"/>
  <c r="A306" i="148" s="1"/>
  <c r="A307" i="148" s="1"/>
  <c r="A308" i="148" s="1"/>
  <c r="A309" i="148" s="1"/>
  <c r="A310" i="148" s="1"/>
  <c r="A311" i="148" s="1"/>
  <c r="A312" i="148" s="1"/>
  <c r="A313" i="148" s="1"/>
  <c r="A314" i="148" s="1"/>
  <c r="A315" i="148" s="1"/>
  <c r="A316" i="148" s="1"/>
  <c r="A317" i="148" s="1"/>
  <c r="A318" i="148" s="1"/>
  <c r="A319" i="148" s="1"/>
  <c r="A320" i="148" s="1"/>
  <c r="A321" i="148" s="1"/>
  <c r="A322" i="148" s="1"/>
  <c r="A323" i="148" s="1"/>
  <c r="A324" i="148" s="1"/>
  <c r="A325" i="148" s="1"/>
  <c r="A326" i="148" s="1"/>
  <c r="A327" i="148" s="1"/>
  <c r="A328" i="148" s="1"/>
  <c r="A329" i="148" s="1"/>
  <c r="A330" i="148" s="1"/>
  <c r="A331" i="148" s="1"/>
  <c r="A332" i="148" s="1"/>
  <c r="A333" i="148" s="1"/>
  <c r="A334" i="148" s="1"/>
  <c r="A335" i="148" s="1"/>
  <c r="A336" i="148" s="1"/>
  <c r="A337" i="148" s="1"/>
  <c r="A338" i="148" s="1"/>
  <c r="A339" i="148" s="1"/>
  <c r="A340" i="148" s="1"/>
  <c r="A341" i="148" s="1"/>
  <c r="A342" i="148" s="1"/>
  <c r="A343" i="148" s="1"/>
  <c r="A344" i="148" s="1"/>
  <c r="A345" i="148" s="1"/>
  <c r="A346" i="148" s="1"/>
  <c r="A347" i="148" s="1"/>
  <c r="K138" i="148"/>
  <c r="E9" i="26"/>
  <c r="A348" i="148" l="1"/>
  <c r="A349" i="148" s="1"/>
  <c r="A350" i="148" s="1"/>
  <c r="A351" i="148" s="1"/>
  <c r="A352" i="148" s="1"/>
  <c r="A353" i="148" s="1"/>
  <c r="A354" i="148" s="1"/>
  <c r="A355" i="148" s="1"/>
  <c r="A356" i="148" s="1"/>
  <c r="A357" i="148" s="1"/>
  <c r="A358" i="148" s="1"/>
  <c r="A359" i="148" s="1"/>
  <c r="A360" i="148" s="1"/>
  <c r="A361" i="148" s="1"/>
  <c r="A362" i="148" s="1"/>
  <c r="A363" i="148" s="1"/>
  <c r="A364" i="148" s="1"/>
  <c r="A365" i="148" s="1"/>
  <c r="A366" i="148" s="1"/>
  <c r="A367" i="148" s="1"/>
  <c r="A368" i="148" s="1"/>
  <c r="A369" i="148" s="1"/>
  <c r="A370" i="148" s="1"/>
  <c r="A371" i="148" s="1"/>
  <c r="A372" i="148" s="1"/>
  <c r="A373" i="148" s="1"/>
  <c r="A374" i="148" s="1"/>
  <c r="A375" i="148" s="1"/>
  <c r="A376" i="148" s="1"/>
  <c r="A377" i="148" s="1"/>
  <c r="A378" i="148" s="1"/>
  <c r="A379" i="148" s="1"/>
  <c r="A380" i="148" s="1"/>
  <c r="A381" i="148" s="1"/>
  <c r="A382" i="148" s="1"/>
  <c r="A383" i="148" s="1"/>
  <c r="A384" i="148" s="1"/>
  <c r="A385" i="148" s="1"/>
  <c r="A386" i="148" s="1"/>
  <c r="A387" i="148" s="1"/>
  <c r="A388" i="148" s="1"/>
  <c r="A389" i="148" s="1"/>
  <c r="A390" i="148" s="1"/>
  <c r="A391" i="148" s="1"/>
  <c r="A392" i="148" s="1"/>
  <c r="A393" i="148" s="1"/>
  <c r="A394" i="148" s="1"/>
  <c r="A395" i="148" s="1"/>
  <c r="A396" i="148" s="1"/>
  <c r="A397" i="148" s="1"/>
  <c r="A398" i="148" s="1"/>
  <c r="A399" i="148" s="1"/>
  <c r="A400" i="148" s="1"/>
  <c r="A401" i="148" s="1"/>
  <c r="A402" i="148" s="1"/>
  <c r="A403" i="148" s="1"/>
  <c r="A404" i="148" s="1"/>
  <c r="A405" i="148" s="1"/>
  <c r="A406" i="148" s="1"/>
  <c r="A407" i="148" s="1"/>
  <c r="A408" i="148" s="1"/>
  <c r="A409" i="148" s="1"/>
  <c r="A410" i="148" s="1"/>
  <c r="A411" i="148" s="1"/>
  <c r="A412" i="148" s="1"/>
  <c r="A413" i="148" s="1"/>
  <c r="A414" i="148" s="1"/>
  <c r="A415" i="148" s="1"/>
  <c r="A416" i="148" s="1"/>
  <c r="A417" i="148" s="1"/>
  <c r="A418" i="148" s="1"/>
  <c r="A419" i="148" s="1"/>
  <c r="A420" i="148" s="1"/>
  <c r="A421" i="148" s="1"/>
  <c r="A422" i="148" s="1"/>
  <c r="A423" i="148" s="1"/>
  <c r="A424" i="148" s="1"/>
  <c r="A425" i="148" s="1"/>
  <c r="A426" i="148" s="1"/>
  <c r="A427" i="148" s="1"/>
  <c r="A428" i="148" s="1"/>
  <c r="A429" i="148" s="1"/>
  <c r="A430" i="148" s="1"/>
  <c r="A431" i="148" s="1"/>
  <c r="A432" i="148" s="1"/>
  <c r="A433" i="148" s="1"/>
  <c r="A434" i="148" s="1"/>
  <c r="A435" i="148" s="1"/>
  <c r="A436" i="148" s="1"/>
  <c r="A437" i="148" s="1"/>
  <c r="A438" i="148" s="1"/>
  <c r="A439" i="148" s="1"/>
  <c r="A440" i="148" s="1"/>
  <c r="A441" i="148" s="1"/>
  <c r="A442" i="148" s="1"/>
  <c r="A443" i="148" s="1"/>
  <c r="A444" i="148" s="1"/>
  <c r="A445" i="148" s="1"/>
  <c r="A446" i="148" s="1"/>
  <c r="A447" i="148" s="1"/>
  <c r="A448" i="148" s="1"/>
  <c r="A449" i="148" s="1"/>
  <c r="A450" i="148" s="1"/>
  <c r="A451" i="148" s="1"/>
  <c r="A452" i="148" s="1"/>
  <c r="A453" i="148" s="1"/>
  <c r="A454" i="148" s="1"/>
  <c r="A455" i="148" s="1"/>
  <c r="A456" i="148" s="1"/>
  <c r="A457" i="148" s="1"/>
  <c r="A458" i="148" s="1"/>
  <c r="A459" i="148" s="1"/>
  <c r="A460" i="148" s="1"/>
  <c r="A461" i="148" s="1"/>
  <c r="A462" i="148" s="1"/>
  <c r="A463" i="148" s="1"/>
  <c r="A464" i="148" s="1"/>
  <c r="A465" i="148" s="1"/>
  <c r="A466" i="148" s="1"/>
  <c r="A467" i="148" s="1"/>
  <c r="A468" i="148" s="1"/>
  <c r="A469" i="148" s="1"/>
  <c r="A470" i="148" s="1"/>
  <c r="A471" i="148" s="1"/>
  <c r="A472" i="148" s="1"/>
  <c r="A473" i="148" s="1"/>
  <c r="A474" i="148" s="1"/>
  <c r="A475" i="148" s="1"/>
  <c r="A476" i="148" s="1"/>
  <c r="A477" i="148" s="1"/>
  <c r="A478" i="148" s="1"/>
  <c r="A479" i="148" s="1"/>
  <c r="A480" i="148" s="1"/>
  <c r="A481" i="148" s="1"/>
  <c r="A482" i="148" s="1"/>
  <c r="A483" i="148" s="1"/>
  <c r="A484" i="148" s="1"/>
  <c r="A485" i="148" s="1"/>
  <c r="A486" i="148" s="1"/>
  <c r="A487" i="148" s="1"/>
  <c r="A488" i="148" s="1"/>
  <c r="A489" i="148" s="1"/>
  <c r="A490" i="148" s="1"/>
  <c r="A491" i="148" s="1"/>
  <c r="A492" i="148" s="1"/>
  <c r="A493" i="148" s="1"/>
  <c r="A494" i="148" s="1"/>
  <c r="A495" i="148" s="1"/>
  <c r="A496" i="148" s="1"/>
  <c r="A497" i="148" s="1"/>
  <c r="A498" i="148" s="1"/>
  <c r="A499" i="148" s="1"/>
  <c r="A500" i="148" s="1"/>
  <c r="A501" i="148" s="1"/>
  <c r="A502" i="148" s="1"/>
  <c r="A503" i="148" s="1"/>
  <c r="A504" i="148" s="1"/>
  <c r="A505" i="148" s="1"/>
  <c r="A506" i="148" s="1"/>
  <c r="A507" i="148" s="1"/>
  <c r="A508" i="148" s="1"/>
  <c r="A509" i="148" s="1"/>
  <c r="A510" i="148" s="1"/>
  <c r="A511" i="148" s="1"/>
  <c r="A512" i="148" s="1"/>
  <c r="A513" i="148" s="1"/>
  <c r="A514" i="148" s="1"/>
  <c r="A515" i="148" s="1"/>
  <c r="A516" i="148" s="1"/>
  <c r="A517" i="148" s="1"/>
  <c r="A518" i="148" s="1"/>
  <c r="A519" i="148" s="1"/>
  <c r="A520" i="148" s="1"/>
  <c r="A521" i="148" s="1"/>
  <c r="A522" i="148" s="1"/>
  <c r="A523" i="148" s="1"/>
  <c r="A524" i="148" s="1"/>
  <c r="A525" i="148" s="1"/>
  <c r="A526" i="148" s="1"/>
  <c r="A527" i="148" s="1"/>
  <c r="A528" i="148" s="1"/>
  <c r="A529" i="148" s="1"/>
  <c r="A530" i="148" s="1"/>
  <c r="A531" i="148" s="1"/>
  <c r="A532" i="148" s="1"/>
  <c r="A533" i="148" s="1"/>
  <c r="A534" i="148" s="1"/>
  <c r="A535" i="148" s="1"/>
  <c r="A536" i="148" s="1"/>
  <c r="A537" i="148" s="1"/>
  <c r="A538" i="148" s="1"/>
  <c r="A539" i="148" s="1"/>
  <c r="A540" i="148" s="1"/>
  <c r="A541" i="148" s="1"/>
  <c r="A542" i="148" s="1"/>
  <c r="A543" i="148" s="1"/>
  <c r="A544" i="148" s="1"/>
  <c r="A545" i="148" s="1"/>
  <c r="A546" i="148" s="1"/>
  <c r="A547" i="148" s="1"/>
  <c r="A548" i="148" s="1"/>
  <c r="A549" i="148" s="1"/>
  <c r="A550" i="148" s="1"/>
  <c r="A551" i="148" s="1"/>
  <c r="A552" i="148" s="1"/>
  <c r="A553" i="148" s="1"/>
  <c r="A554" i="148" s="1"/>
  <c r="A555" i="148" s="1"/>
  <c r="A556" i="148" s="1"/>
  <c r="A557" i="148" s="1"/>
  <c r="A558" i="148" s="1"/>
  <c r="A559" i="148" s="1"/>
  <c r="A560" i="148" s="1"/>
  <c r="A561" i="148" s="1"/>
  <c r="A562" i="148" s="1"/>
  <c r="A563" i="148" s="1"/>
  <c r="A564" i="148" s="1"/>
  <c r="A565" i="148" s="1"/>
  <c r="A566" i="148" s="1"/>
  <c r="A567" i="148" s="1"/>
  <c r="A568" i="148" s="1"/>
  <c r="A569" i="148" s="1"/>
  <c r="A570" i="148" s="1"/>
  <c r="A571" i="148" s="1"/>
  <c r="A572" i="148" s="1"/>
  <c r="A573" i="148" s="1"/>
  <c r="A574" i="148" s="1"/>
  <c r="A575" i="148" s="1"/>
  <c r="A576" i="148" s="1"/>
  <c r="A577" i="148" s="1"/>
  <c r="A578" i="148" s="1"/>
  <c r="A579" i="148" s="1"/>
  <c r="A580" i="148" s="1"/>
  <c r="A581" i="148" s="1"/>
  <c r="A582" i="148" s="1"/>
  <c r="A583" i="148" s="1"/>
  <c r="A584" i="148" s="1"/>
  <c r="A585" i="148" s="1"/>
  <c r="A586" i="148" s="1"/>
  <c r="A587" i="148" s="1"/>
  <c r="A588" i="148" s="1"/>
  <c r="A589" i="148" s="1"/>
  <c r="A590" i="148" s="1"/>
  <c r="A591" i="148" s="1"/>
  <c r="A592" i="148" s="1"/>
  <c r="A593" i="148" s="1"/>
  <c r="A594" i="148" s="1"/>
  <c r="A595" i="148" s="1"/>
  <c r="A596" i="148" s="1"/>
  <c r="A597" i="148" s="1"/>
  <c r="A598" i="148" s="1"/>
  <c r="A599" i="148" s="1"/>
  <c r="A600" i="148" s="1"/>
  <c r="A601" i="148" s="1"/>
  <c r="A602" i="148" s="1"/>
  <c r="A603" i="148" s="1"/>
  <c r="A604" i="148" s="1"/>
  <c r="A605" i="148" s="1"/>
  <c r="A606" i="148" s="1"/>
  <c r="A607" i="148" s="1"/>
  <c r="A608" i="148" s="1"/>
  <c r="A609" i="148" s="1"/>
  <c r="A610" i="148" s="1"/>
  <c r="A611" i="148" s="1"/>
  <c r="A612" i="148" s="1"/>
  <c r="A613" i="148" s="1"/>
  <c r="A614" i="148" s="1"/>
  <c r="A615" i="148" s="1"/>
  <c r="A616" i="148" s="1"/>
  <c r="A617" i="148" s="1"/>
  <c r="A618" i="148" s="1"/>
  <c r="A619" i="148" s="1"/>
  <c r="A620" i="148" s="1"/>
  <c r="A621" i="148" s="1"/>
  <c r="A622" i="148" s="1"/>
  <c r="A623" i="148" s="1"/>
  <c r="A624" i="148" s="1"/>
  <c r="A625" i="148" s="1"/>
  <c r="A626" i="148" s="1"/>
  <c r="A627" i="148" s="1"/>
  <c r="A628" i="148" s="1"/>
  <c r="A629" i="148" s="1"/>
  <c r="A630" i="148" s="1"/>
  <c r="A631" i="148" s="1"/>
  <c r="A632" i="148" s="1"/>
  <c r="A633" i="148" s="1"/>
  <c r="A634" i="148" s="1"/>
  <c r="A635" i="148" s="1"/>
  <c r="A636" i="148" s="1"/>
  <c r="A637" i="148" s="1"/>
  <c r="A638" i="148" s="1"/>
  <c r="A639" i="148" s="1"/>
  <c r="A640" i="148" s="1"/>
  <c r="A641" i="148" s="1"/>
  <c r="A642" i="148" s="1"/>
  <c r="A643" i="148" s="1"/>
  <c r="A644" i="148" s="1"/>
  <c r="A645" i="148" s="1"/>
  <c r="A646" i="148" s="1"/>
  <c r="A647" i="148" s="1"/>
  <c r="A648" i="148" s="1"/>
  <c r="A649" i="148" s="1"/>
  <c r="A650" i="148" s="1"/>
  <c r="A651" i="148" s="1"/>
  <c r="A652" i="148" s="1"/>
  <c r="A653" i="148" s="1"/>
  <c r="A654" i="148" s="1"/>
  <c r="A655" i="148" s="1"/>
  <c r="A656" i="148" s="1"/>
  <c r="A657" i="148" s="1"/>
  <c r="A658" i="148" s="1"/>
  <c r="A659" i="148" s="1"/>
  <c r="A660" i="148" s="1"/>
  <c r="A661" i="148" s="1"/>
  <c r="A662" i="148" s="1"/>
  <c r="A663" i="148" s="1"/>
  <c r="A664" i="148" s="1"/>
  <c r="A665" i="148" s="1"/>
  <c r="A666" i="148" s="1"/>
  <c r="A667" i="148" s="1"/>
  <c r="A668" i="148" s="1"/>
  <c r="A669" i="148" s="1"/>
  <c r="A670" i="148" s="1"/>
  <c r="A671" i="148" s="1"/>
  <c r="A672" i="148" s="1"/>
  <c r="A673" i="148" s="1"/>
  <c r="A674" i="148" s="1"/>
  <c r="A675" i="148" s="1"/>
  <c r="A676" i="148" s="1"/>
  <c r="A677" i="148" s="1"/>
  <c r="A678" i="148" s="1"/>
  <c r="A679" i="148" s="1"/>
  <c r="A680" i="148" s="1"/>
  <c r="A681" i="148" s="1"/>
  <c r="A682" i="148" s="1"/>
  <c r="A683" i="148" s="1"/>
  <c r="A684" i="148" s="1"/>
  <c r="A685" i="148" s="1"/>
  <c r="A686" i="148" s="1"/>
  <c r="A687" i="148" s="1"/>
  <c r="A688" i="148" s="1"/>
  <c r="A689" i="148" s="1"/>
  <c r="A690" i="148" s="1"/>
  <c r="A691" i="148" s="1"/>
  <c r="A692" i="148" s="1"/>
  <c r="A693" i="148" s="1"/>
  <c r="A694" i="148" s="1"/>
  <c r="A695" i="148" s="1"/>
  <c r="A696" i="148" s="1"/>
  <c r="A697" i="148" s="1"/>
  <c r="A698" i="148" s="1"/>
  <c r="A699" i="148" s="1"/>
  <c r="A700" i="148" s="1"/>
  <c r="A701" i="148" s="1"/>
  <c r="A702" i="148" s="1"/>
  <c r="A703" i="148" s="1"/>
  <c r="A704" i="148" s="1"/>
  <c r="A705" i="148" s="1"/>
  <c r="A706" i="148" s="1"/>
  <c r="A707" i="148" s="1"/>
  <c r="A708" i="148" s="1"/>
  <c r="A709" i="148" s="1"/>
  <c r="A710" i="148" s="1"/>
  <c r="A711" i="148" s="1"/>
  <c r="A712" i="148" s="1"/>
  <c r="A713" i="148" s="1"/>
  <c r="A714" i="148" s="1"/>
  <c r="A715" i="148" s="1"/>
  <c r="A716" i="148" s="1"/>
  <c r="A717" i="148" s="1"/>
  <c r="A718" i="148" s="1"/>
  <c r="A719" i="148" s="1"/>
  <c r="A720" i="148" s="1"/>
  <c r="A721" i="148" s="1"/>
  <c r="A722" i="148" s="1"/>
  <c r="A723" i="148" s="1"/>
  <c r="A724" i="148" s="1"/>
  <c r="A725" i="148" s="1"/>
  <c r="A726" i="148" s="1"/>
  <c r="A727" i="148" s="1"/>
  <c r="A728" i="148" s="1"/>
  <c r="A729" i="148" s="1"/>
  <c r="A730" i="148" s="1"/>
  <c r="A731" i="148" s="1"/>
  <c r="A732" i="148" s="1"/>
  <c r="A733" i="148" s="1"/>
  <c r="A734" i="148" s="1"/>
  <c r="A735" i="148" s="1"/>
  <c r="A736" i="148" s="1"/>
  <c r="A737" i="148" s="1"/>
  <c r="A738" i="148" s="1"/>
  <c r="A739" i="148" s="1"/>
  <c r="A740" i="148" s="1"/>
  <c r="A741" i="148" s="1"/>
  <c r="A742" i="148" s="1"/>
  <c r="A743" i="148" s="1"/>
  <c r="A744" i="148" s="1"/>
  <c r="A745" i="148" s="1"/>
  <c r="A746" i="148" s="1"/>
  <c r="A747" i="148" s="1"/>
  <c r="A748" i="148" s="1"/>
  <c r="A749" i="148" s="1"/>
  <c r="A750" i="148" s="1"/>
  <c r="A751" i="148" s="1"/>
  <c r="A752" i="148" s="1"/>
  <c r="A753" i="148" s="1"/>
  <c r="A754" i="148" s="1"/>
  <c r="A755" i="148" s="1"/>
  <c r="A756" i="148" s="1"/>
  <c r="A757" i="148" s="1"/>
  <c r="A758" i="148" s="1"/>
  <c r="A759" i="148" s="1"/>
  <c r="A760" i="148" s="1"/>
  <c r="A761" i="148" s="1"/>
  <c r="A762" i="148" s="1"/>
  <c r="A763" i="148" s="1"/>
  <c r="A764" i="148" s="1"/>
  <c r="A765" i="148" s="1"/>
  <c r="A766" i="148" s="1"/>
  <c r="A767" i="148" s="1"/>
  <c r="A768" i="148" s="1"/>
  <c r="A769" i="148" s="1"/>
  <c r="A770" i="148" s="1"/>
  <c r="A771" i="148" s="1"/>
  <c r="A772" i="148" s="1"/>
  <c r="A773" i="148" s="1"/>
  <c r="A774" i="148" s="1"/>
  <c r="A775" i="148" s="1"/>
  <c r="A776" i="148" s="1"/>
  <c r="A777" i="148" s="1"/>
  <c r="A778" i="148" s="1"/>
  <c r="A779" i="148" s="1"/>
  <c r="A780" i="148" s="1"/>
  <c r="A781" i="148" s="1"/>
  <c r="A782" i="148" s="1"/>
  <c r="A783" i="148" s="1"/>
  <c r="A784" i="148" s="1"/>
  <c r="A785" i="148" s="1"/>
  <c r="A786" i="148" s="1"/>
  <c r="A787" i="148" s="1"/>
  <c r="A788" i="148" s="1"/>
  <c r="A789" i="148" s="1"/>
  <c r="A790" i="148" s="1"/>
  <c r="A791" i="148" s="1"/>
  <c r="A792" i="148" s="1"/>
  <c r="A793" i="148" s="1"/>
  <c r="A794" i="148" s="1"/>
  <c r="A795" i="148" s="1"/>
  <c r="A796" i="148" s="1"/>
  <c r="A797" i="148" s="1"/>
  <c r="A798" i="148" s="1"/>
  <c r="A799" i="148" s="1"/>
  <c r="A800" i="148" s="1"/>
  <c r="A801" i="148" s="1"/>
  <c r="A802" i="148" s="1"/>
  <c r="A803" i="148" s="1"/>
  <c r="A804" i="148" s="1"/>
  <c r="A805" i="148" s="1"/>
  <c r="A806" i="148" s="1"/>
  <c r="A807" i="148" s="1"/>
  <c r="A808" i="148" s="1"/>
  <c r="A809" i="148" s="1"/>
  <c r="A810" i="148" s="1"/>
  <c r="A811" i="148" s="1"/>
  <c r="A812" i="148" s="1"/>
  <c r="A813" i="148" s="1"/>
  <c r="A814" i="148" s="1"/>
  <c r="A815" i="148" s="1"/>
  <c r="A816" i="148" s="1"/>
  <c r="A817" i="148" s="1"/>
  <c r="A818" i="148" s="1"/>
  <c r="A819" i="148" s="1"/>
  <c r="A820" i="148" s="1"/>
  <c r="A821" i="148" s="1"/>
  <c r="A822" i="148" s="1"/>
  <c r="A823" i="148" s="1"/>
  <c r="A824" i="148" s="1"/>
  <c r="A825" i="148" s="1"/>
  <c r="A826" i="148" s="1"/>
  <c r="A827" i="148" s="1"/>
  <c r="A828" i="148" s="1"/>
  <c r="A829" i="148" s="1"/>
  <c r="A830" i="148" s="1"/>
  <c r="A831" i="148" s="1"/>
  <c r="A832" i="148" s="1"/>
  <c r="A833" i="148" s="1"/>
  <c r="A834" i="148" s="1"/>
  <c r="A835" i="148" s="1"/>
  <c r="A836" i="148" s="1"/>
  <c r="A837" i="148" s="1"/>
  <c r="A838" i="148" s="1"/>
  <c r="A839" i="148" s="1"/>
  <c r="A840" i="148" s="1"/>
  <c r="A841" i="148" s="1"/>
  <c r="A842" i="148" s="1"/>
  <c r="A843" i="148" s="1"/>
  <c r="A844" i="148" s="1"/>
  <c r="A845" i="148" s="1"/>
  <c r="A846" i="148" s="1"/>
  <c r="A847" i="148" s="1"/>
  <c r="A848" i="148" s="1"/>
  <c r="A849" i="148" s="1"/>
  <c r="A850" i="148" s="1"/>
  <c r="A851" i="148" s="1"/>
  <c r="A852" i="148" s="1"/>
  <c r="A853" i="148" s="1"/>
  <c r="A854" i="148" s="1"/>
  <c r="A855" i="148" s="1"/>
  <c r="A856" i="148" s="1"/>
  <c r="A857" i="148" s="1"/>
  <c r="A858" i="148" s="1"/>
  <c r="A859" i="148" s="1"/>
  <c r="A860" i="148" s="1"/>
  <c r="A861" i="148" s="1"/>
  <c r="A862" i="148" s="1"/>
  <c r="A863" i="148" s="1"/>
  <c r="A864" i="148" s="1"/>
  <c r="A865" i="148" s="1"/>
  <c r="A866" i="148" s="1"/>
  <c r="A867" i="148" s="1"/>
  <c r="A868" i="148" s="1"/>
  <c r="A869" i="148" s="1"/>
  <c r="A870" i="148" s="1"/>
  <c r="A871" i="148" s="1"/>
  <c r="A872" i="148" s="1"/>
  <c r="A873" i="148" s="1"/>
  <c r="A874" i="148" s="1"/>
  <c r="A875" i="148" s="1"/>
  <c r="A876" i="148" s="1"/>
  <c r="A877" i="148" s="1"/>
  <c r="A878" i="148" s="1"/>
  <c r="A879" i="148" s="1"/>
  <c r="A880" i="148" s="1"/>
  <c r="A881" i="148" s="1"/>
  <c r="A882" i="148" s="1"/>
  <c r="A883" i="148" s="1"/>
  <c r="A884" i="148" s="1"/>
  <c r="A885" i="148" s="1"/>
  <c r="A886" i="148" s="1"/>
  <c r="A887" i="148" s="1"/>
  <c r="A888" i="148" s="1"/>
  <c r="A889" i="148" s="1"/>
  <c r="A890" i="148" s="1"/>
  <c r="A891" i="148" s="1"/>
  <c r="A892" i="148" s="1"/>
  <c r="A893" i="148" s="1"/>
  <c r="A894" i="148" s="1"/>
  <c r="A895" i="148" s="1"/>
  <c r="A896" i="148" s="1"/>
  <c r="A897" i="148" s="1"/>
  <c r="A898" i="148" s="1"/>
  <c r="A899" i="148" s="1"/>
  <c r="A900" i="148" s="1"/>
  <c r="A901" i="148" s="1"/>
  <c r="A902" i="148" s="1"/>
  <c r="A903" i="148" s="1"/>
  <c r="A904" i="148" s="1"/>
  <c r="A905" i="148" s="1"/>
  <c r="A906" i="148" s="1"/>
  <c r="A907" i="148" s="1"/>
  <c r="A908" i="148" s="1"/>
  <c r="A909" i="148" s="1"/>
  <c r="A910" i="148" s="1"/>
  <c r="A911" i="148" s="1"/>
  <c r="A912" i="148" s="1"/>
  <c r="A913" i="148" s="1"/>
  <c r="A914" i="148" s="1"/>
  <c r="A915" i="148" s="1"/>
  <c r="A916" i="148" s="1"/>
  <c r="A917" i="148" s="1"/>
  <c r="A918" i="148" s="1"/>
  <c r="A919" i="148" s="1"/>
  <c r="A920" i="148" s="1"/>
  <c r="A921" i="148" s="1"/>
  <c r="A922" i="148" s="1"/>
  <c r="A923" i="148" s="1"/>
  <c r="A924" i="148" s="1"/>
  <c r="A925" i="148" s="1"/>
  <c r="A926" i="148" s="1"/>
  <c r="A927" i="148" s="1"/>
  <c r="A928" i="148" s="1"/>
  <c r="A929" i="148" s="1"/>
  <c r="A930" i="148" s="1"/>
  <c r="A931" i="148" s="1"/>
  <c r="A932" i="148" s="1"/>
  <c r="A933" i="148" s="1"/>
  <c r="A934" i="148" s="1"/>
  <c r="A935" i="148" s="1"/>
  <c r="A936" i="148" s="1"/>
  <c r="A937" i="148" s="1"/>
  <c r="A938" i="148" s="1"/>
  <c r="A939" i="148" s="1"/>
  <c r="A940" i="148" s="1"/>
  <c r="A941" i="148" s="1"/>
  <c r="A942" i="148" s="1"/>
  <c r="A943" i="148" s="1"/>
  <c r="A944" i="148" s="1"/>
  <c r="A945" i="148" s="1"/>
  <c r="A946" i="148" s="1"/>
  <c r="A947" i="148" s="1"/>
  <c r="A948" i="148" s="1"/>
  <c r="A949" i="148" s="1"/>
  <c r="A950" i="148" s="1"/>
  <c r="A951" i="148" s="1"/>
  <c r="A952" i="148" s="1"/>
  <c r="A953" i="148" s="1"/>
  <c r="A954" i="148" s="1"/>
  <c r="A955" i="148" s="1"/>
  <c r="A956" i="148" s="1"/>
  <c r="A957" i="148" s="1"/>
  <c r="A958" i="148" s="1"/>
  <c r="A959" i="148" s="1"/>
  <c r="A960" i="148" s="1"/>
  <c r="K961" i="148"/>
  <c r="L961" i="148" s="1"/>
  <c r="G9" i="227"/>
  <c r="G9" i="26"/>
  <c r="G6" i="26" s="1"/>
  <c r="G13" i="26" s="1"/>
  <c r="L138" i="148"/>
  <c r="E6" i="26"/>
  <c r="S9" i="227" l="1"/>
  <c r="G6" i="227"/>
  <c r="T9" i="26"/>
  <c r="G12" i="26"/>
  <c r="G11" i="26"/>
  <c r="E11" i="26"/>
  <c r="T6" i="26"/>
  <c r="E13" i="26"/>
  <c r="T13" i="26" s="1"/>
  <c r="E22" i="26"/>
  <c r="T22" i="26" s="1"/>
  <c r="E12" i="26"/>
  <c r="E21" i="26"/>
  <c r="G12" i="227" l="1"/>
  <c r="S12" i="227" s="1"/>
  <c r="G13" i="227"/>
  <c r="S13" i="227" s="1"/>
  <c r="G11" i="227"/>
  <c r="S6" i="227"/>
  <c r="T22" i="227" s="1"/>
  <c r="T23" i="227" s="1"/>
  <c r="T12" i="26"/>
  <c r="G10" i="26"/>
  <c r="G15" i="26" s="1"/>
  <c r="G16" i="26" s="1"/>
  <c r="G17" i="26" s="1"/>
  <c r="G18" i="26" s="1"/>
  <c r="T21" i="26"/>
  <c r="E20" i="26"/>
  <c r="T20" i="26" s="1"/>
  <c r="U22" i="26" s="1"/>
  <c r="U23" i="26" s="1"/>
  <c r="T11" i="26"/>
  <c r="E10" i="26"/>
  <c r="G10" i="227" l="1"/>
  <c r="S11" i="227"/>
  <c r="T10" i="26"/>
  <c r="E15" i="26"/>
  <c r="G15" i="227" l="1"/>
  <c r="S10" i="227"/>
  <c r="T15" i="26"/>
  <c r="E16" i="26"/>
  <c r="G16" i="227" l="1"/>
  <c r="S15" i="227"/>
  <c r="T16" i="26"/>
  <c r="E17" i="26"/>
  <c r="T17" i="26" s="1"/>
  <c r="G17" i="227" l="1"/>
  <c r="S16" i="227"/>
  <c r="E18" i="26"/>
  <c r="T18" i="26" s="1"/>
  <c r="G18" i="227" l="1"/>
  <c r="S18" i="227" s="1"/>
  <c r="U18" i="227" s="1"/>
  <c r="S17" i="227"/>
  <c r="V18" i="26"/>
  <c r="F23" i="112" l="1"/>
  <c r="J14" i="112" l="1"/>
  <c r="C6" i="111" s="1"/>
  <c r="H6" i="112"/>
  <c r="L32" i="112" s="1"/>
  <c r="I6" i="112" l="1"/>
  <c r="L21" i="112"/>
  <c r="J6" i="112" l="1"/>
  <c r="G14" i="112"/>
  <c r="G6" i="112" s="1"/>
  <c r="F24" i="112"/>
  <c r="D134" i="111" l="1"/>
  <c r="G54" i="112" s="1"/>
  <c r="E130" i="111"/>
  <c r="D129" i="111"/>
  <c r="D130" i="111"/>
  <c r="E129" i="111"/>
  <c r="E134" i="111"/>
  <c r="B7" i="111"/>
  <c r="F25" i="112"/>
  <c r="D132" i="111"/>
  <c r="D128" i="111"/>
  <c r="D133" i="111"/>
  <c r="E135" i="111"/>
  <c r="E133" i="111"/>
  <c r="O5" i="112"/>
  <c r="O6" i="112" s="1"/>
  <c r="E128" i="111"/>
  <c r="E132" i="111"/>
  <c r="D131" i="111"/>
  <c r="D135" i="111"/>
  <c r="E131" i="111"/>
  <c r="C120" i="111"/>
  <c r="D120" i="111" s="1"/>
  <c r="G56" i="112" s="1"/>
  <c r="C110" i="111"/>
  <c r="D110" i="111" s="1"/>
  <c r="C74" i="111"/>
  <c r="D74" i="111" s="1"/>
  <c r="G42" i="112" s="1"/>
  <c r="C14" i="111"/>
  <c r="C69" i="111"/>
  <c r="D69" i="111" s="1"/>
  <c r="C105" i="111"/>
  <c r="D105" i="111" s="1"/>
  <c r="G51" i="112" s="1"/>
  <c r="C39" i="111"/>
  <c r="D39" i="111" s="1"/>
  <c r="C59" i="111"/>
  <c r="D59" i="111" s="1"/>
  <c r="C115" i="111"/>
  <c r="D115" i="111" s="1"/>
  <c r="C54" i="111"/>
  <c r="D54" i="111" s="1"/>
  <c r="C34" i="111"/>
  <c r="D34" i="111" s="1"/>
  <c r="C79" i="111"/>
  <c r="D79" i="111" s="1"/>
  <c r="C64" i="111"/>
  <c r="D64" i="111" s="1"/>
  <c r="C3" i="111"/>
  <c r="E125" i="111"/>
  <c r="E69" i="111" l="1"/>
  <c r="G55" i="112"/>
  <c r="E59" i="111"/>
  <c r="E54" i="111"/>
  <c r="D14" i="111"/>
  <c r="G32" i="112" s="1"/>
  <c r="H50" i="112"/>
  <c r="I50" i="112" s="1"/>
  <c r="J50" i="112"/>
  <c r="F50" i="112" s="1"/>
  <c r="G39" i="112"/>
  <c r="G41" i="112"/>
  <c r="G52" i="112"/>
  <c r="G53" i="112"/>
  <c r="G38" i="112"/>
  <c r="G40" i="112"/>
  <c r="H55" i="112"/>
  <c r="I55" i="112" s="1"/>
  <c r="J55" i="112"/>
  <c r="E79" i="111"/>
  <c r="E14" i="111"/>
  <c r="J32" i="112" s="1"/>
  <c r="J31" i="112" s="1"/>
  <c r="E110" i="111"/>
  <c r="J52" i="112" s="1"/>
  <c r="E74" i="111"/>
  <c r="E105" i="111"/>
  <c r="J51" i="112" s="1"/>
  <c r="E39" i="111"/>
  <c r="E115" i="111"/>
  <c r="E120" i="111"/>
  <c r="J56" i="112" s="1"/>
  <c r="E34" i="111"/>
  <c r="E64" i="111"/>
  <c r="F26" i="112"/>
  <c r="F27" i="112" s="1"/>
  <c r="C50" i="111"/>
  <c r="E50" i="111" s="1"/>
  <c r="C28" i="111"/>
  <c r="E28" i="111" s="1"/>
  <c r="C17" i="111"/>
  <c r="D17" i="111" s="1"/>
  <c r="C45" i="111"/>
  <c r="E45" i="111" s="1"/>
  <c r="C43" i="111"/>
  <c r="D43" i="111" s="1"/>
  <c r="C20" i="111"/>
  <c r="E20" i="111" s="1"/>
  <c r="C26" i="111"/>
  <c r="E26" i="111" s="1"/>
  <c r="D45" i="111"/>
  <c r="D50" i="111"/>
  <c r="C44" i="111"/>
  <c r="D44" i="111" s="1"/>
  <c r="C31" i="111"/>
  <c r="E31" i="111" s="1"/>
  <c r="C25" i="111"/>
  <c r="D25" i="111" s="1"/>
  <c r="C21" i="111"/>
  <c r="E21" i="111" s="1"/>
  <c r="C22" i="111"/>
  <c r="D22" i="111" s="1"/>
  <c r="C49" i="111"/>
  <c r="E49" i="111" s="1"/>
  <c r="C42" i="111"/>
  <c r="D42" i="111" s="1"/>
  <c r="C30" i="111"/>
  <c r="E30" i="111" s="1"/>
  <c r="C47" i="111"/>
  <c r="E47" i="111" s="1"/>
  <c r="E83" i="111"/>
  <c r="C23" i="111"/>
  <c r="D23" i="111" s="1"/>
  <c r="C24" i="111"/>
  <c r="E24" i="111" s="1"/>
  <c r="C46" i="111"/>
  <c r="E46" i="111" s="1"/>
  <c r="E17" i="111"/>
  <c r="E23" i="111"/>
  <c r="C51" i="111"/>
  <c r="E51" i="111" s="1"/>
  <c r="C48" i="111"/>
  <c r="E48" i="111" s="1"/>
  <c r="C29" i="111"/>
  <c r="E29" i="111" s="1"/>
  <c r="C18" i="111"/>
  <c r="D18" i="111" s="1"/>
  <c r="C27" i="111"/>
  <c r="D27" i="111" s="1"/>
  <c r="C19" i="111"/>
  <c r="D19" i="111" s="1"/>
  <c r="H53" i="112"/>
  <c r="I53" i="112" s="1"/>
  <c r="J53" i="112"/>
  <c r="H54" i="112"/>
  <c r="I54" i="112" s="1"/>
  <c r="J54" i="112"/>
  <c r="D75" i="111"/>
  <c r="D65" i="111"/>
  <c r="D106" i="111"/>
  <c r="D126" i="111"/>
  <c r="D121" i="111"/>
  <c r="D60" i="111"/>
  <c r="D35" i="111"/>
  <c r="D40" i="111"/>
  <c r="D116" i="111"/>
  <c r="D70" i="111"/>
  <c r="D111" i="111"/>
  <c r="D55" i="111"/>
  <c r="D80" i="111"/>
  <c r="D15" i="111"/>
  <c r="H32" i="112" l="1"/>
  <c r="I32" i="112" s="1"/>
  <c r="I31" i="112" s="1"/>
  <c r="H51" i="112"/>
  <c r="I51" i="112" s="1"/>
  <c r="E42" i="111"/>
  <c r="E43" i="111"/>
  <c r="D24" i="111"/>
  <c r="D20" i="111"/>
  <c r="D49" i="111"/>
  <c r="H52" i="112"/>
  <c r="I52" i="112" s="1"/>
  <c r="H42" i="112"/>
  <c r="I42" i="112" s="1"/>
  <c r="J42" i="112"/>
  <c r="E22" i="111"/>
  <c r="E44" i="111"/>
  <c r="E18" i="111"/>
  <c r="D47" i="111"/>
  <c r="E25" i="111"/>
  <c r="D48" i="111"/>
  <c r="E19" i="111"/>
  <c r="D29" i="111"/>
  <c r="J39" i="112"/>
  <c r="J41" i="112"/>
  <c r="H41" i="112"/>
  <c r="I41" i="112" s="1"/>
  <c r="J40" i="112"/>
  <c r="H40" i="112"/>
  <c r="I40" i="112" s="1"/>
  <c r="H39" i="112"/>
  <c r="I39" i="112" s="1"/>
  <c r="E27" i="111"/>
  <c r="D28" i="111"/>
  <c r="G24" i="112"/>
  <c r="D30" i="111"/>
  <c r="B8" i="111"/>
  <c r="F28" i="112"/>
  <c r="F29" i="112" s="1"/>
  <c r="G27" i="112" s="1"/>
  <c r="J48" i="112"/>
  <c r="F51" i="112"/>
  <c r="F52" i="112" s="1"/>
  <c r="F53" i="112" s="1"/>
  <c r="F54" i="112" s="1"/>
  <c r="F55" i="112" s="1"/>
  <c r="F56" i="112" s="1"/>
  <c r="G31" i="112"/>
  <c r="J37" i="112"/>
  <c r="H37" i="112"/>
  <c r="H38" i="112"/>
  <c r="I38" i="112" s="1"/>
  <c r="J38" i="112"/>
  <c r="E961" i="148" l="1"/>
  <c r="H31" i="112"/>
  <c r="G37" i="112"/>
  <c r="I48" i="112"/>
  <c r="H48" i="112"/>
  <c r="D26" i="111"/>
  <c r="D51" i="111"/>
  <c r="D46" i="111"/>
  <c r="D21" i="111"/>
  <c r="H35" i="112"/>
  <c r="J35" i="112"/>
  <c r="J65" i="112" s="1"/>
  <c r="F57" i="112"/>
  <c r="F58" i="112" s="1"/>
  <c r="F59" i="112" s="1"/>
  <c r="F60" i="112" s="1"/>
  <c r="F61" i="112" s="1"/>
  <c r="G48" i="112" s="1"/>
  <c r="I37" i="112"/>
  <c r="I35" i="112" s="1"/>
  <c r="F37" i="112"/>
  <c r="F38" i="112" s="1"/>
  <c r="F39" i="112" s="1"/>
  <c r="F40" i="112" s="1"/>
  <c r="F41" i="112" s="1"/>
  <c r="F42" i="112" s="1"/>
  <c r="D66" i="111"/>
  <c r="D81" i="111"/>
  <c r="D112" i="111"/>
  <c r="D76" i="111"/>
  <c r="D41" i="111"/>
  <c r="D71" i="111"/>
  <c r="D127" i="111"/>
  <c r="D61" i="111"/>
  <c r="D16" i="111"/>
  <c r="D36" i="111"/>
  <c r="D117" i="111"/>
  <c r="D122" i="111"/>
  <c r="D56" i="111"/>
  <c r="D107" i="111"/>
  <c r="D31" i="111"/>
  <c r="F43" i="112" l="1"/>
  <c r="F44" i="112" s="1"/>
  <c r="F45" i="112" s="1"/>
  <c r="F46" i="112" s="1"/>
  <c r="G35" i="112" s="1"/>
  <c r="J69" i="112"/>
  <c r="K18" i="62" s="1"/>
  <c r="U22" i="62" l="1"/>
  <c r="U23" i="62" s="1"/>
  <c r="T22" i="62" l="1"/>
  <c r="T23" i="62" s="1"/>
  <c r="S22" i="62" l="1"/>
  <c r="S23" i="62" s="1"/>
  <c r="R22" i="62" l="1"/>
  <c r="R23" i="62" s="1"/>
  <c r="Q22" i="62" l="1"/>
  <c r="L18" i="62" s="1"/>
  <c r="E70" i="112" s="1"/>
  <c r="Q23" i="6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2" authorId="0" shapeId="0" xr:uid="{00000000-0006-0000-7200-000001000000}">
      <text>
        <r>
          <rPr>
            <b/>
            <sz val="12"/>
            <color indexed="81"/>
            <rFont val=".VnTime"/>
            <family val="2"/>
          </rPr>
          <t xml:space="preserve">Gi¸ trÞ tæng møc ®Çu t­ cÇn </t>
        </r>
        <r>
          <rPr>
            <b/>
            <sz val="12"/>
            <color indexed="10"/>
            <rFont val=".VnTime"/>
            <family val="2"/>
          </rPr>
          <t>nhËp vµo</t>
        </r>
        <r>
          <rPr>
            <b/>
            <sz val="12"/>
            <color indexed="81"/>
            <rFont val=".VnTime"/>
            <family val="2"/>
          </rPr>
          <t xml:space="preserve"> ®Ó tra.</t>
        </r>
      </text>
    </comment>
    <comment ref="C3" authorId="0" shapeId="0" xr:uid="{00000000-0006-0000-7200-000002000000}">
      <text>
        <r>
          <rPr>
            <sz val="12"/>
            <color indexed="81"/>
            <rFont val=".VnTime"/>
            <family val="2"/>
          </rPr>
          <t>Gi¸ trÞ x©y l¾p tr­íc thuÕ ®Ó tra c¸c hÖ sè.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L2" authorId="0" shapeId="0" xr:uid="{00000000-0006-0000-F600-000001000000}">
      <text>
        <r>
          <rPr>
            <b/>
            <sz val="12"/>
            <color indexed="81"/>
            <rFont val=".VnTime"/>
            <family val="2"/>
          </rPr>
          <t xml:space="preserve">Gi¸ trÞ tæng møc ®Çu t­ cÇn </t>
        </r>
        <r>
          <rPr>
            <b/>
            <sz val="12"/>
            <color indexed="10"/>
            <rFont val=".VnTime"/>
            <family val="2"/>
          </rPr>
          <t>nhËp vµo</t>
        </r>
        <r>
          <rPr>
            <b/>
            <sz val="12"/>
            <color indexed="81"/>
            <rFont val=".VnTime"/>
            <family val="2"/>
          </rPr>
          <t xml:space="preserve"> ®Ó tra.</t>
        </r>
      </text>
    </comment>
    <comment ref="A35" authorId="0" shapeId="0" xr:uid="{00000000-0006-0000-F600-000002000000}">
      <text>
        <r>
          <rPr>
            <sz val="10"/>
            <color indexed="81"/>
            <rFont val=".VnTime"/>
            <family val="2"/>
          </rPr>
          <t>TV01: Chi phÝ lËp DA §T
TV01: Chi phÝ lËp BC KTKT
TV03: Chi phÝ lËp TKBVTC (3 b­íc - CT cÊp IV)
TV04: Chi phÝ lËp TKBVTC (2 b­íc - CT cÊp IV)
TV05: Chi phÝ thÈm tra DA §T
TV06: Chi phÝ thÈm tra BVTC (T­ vÊn)
TV07: Chi phÝ thÈm tra Dù to¸n (T­ vÊn)
TV08: Chi phÝ gi¸m s¸t XD
TV09: Chi phÝ gi¸m s¸t l¾p ®Æt TB
TV10: Chi phÝ lËp HSMT vµ ®¸nh gi¸ HSDT  XD
TV11: Chi phÝ lËp HSMT vµ ®¸nh gi¸ HSDT  TB
TV12: Chi phÝ thÈm tra BVTC (Chñ §T)
TV13: Chi phÝ thÈm tra Dù to¸n (Chñ §T)
TV14: Chi phÝ Kh¶o s¸t x©y dùng.
TV15: Chi phÝ kiÓm ®Þnh CL c«ng tr×nh (TV kiÓm ®Þnh).</t>
        </r>
      </text>
    </comment>
    <comment ref="A48" authorId="0" shapeId="0" xr:uid="{00000000-0006-0000-F600-000003000000}">
      <text>
        <r>
          <rPr>
            <sz val="10"/>
            <color indexed="81"/>
            <rFont val=".VnTime"/>
            <family val="2"/>
          </rPr>
          <t>CK01: LÖ phÝ thÈm tra BVTC (Chñ §T)
CK02: LÖ phÝ thÈm tra Dù to¸n (Chñ §T)
CK03: LÖ phÝ thÈm ®Þnh BC KTKT, DA§T
CK04: Chi phÝ kiÓm to¸n
CK05: Chi phÝ thÈm tra phª duyÖt QT
CK06: Chi phÝ b¶o hiÓm (HTKT)
CK07: Chi phÝ b¶o hiÓm (Giao th«ng)
CK08: Chi phÝ lËp HSMT, HSYC
CK09: Chi phÝ thÈm ®Þnh HSMT, HSYC
CK10: Chi phÝ thÈm ®Þnh KQ ®Êu thÇu
CK11: Chi phÝ gi¶i quyÕt kiÕn nghÞ sau ®Êu thÇu
CK12: Chi phÝ lËp HS mêi quan t©m, s¬ tuyÓn
CK13: Chi phÝ thÈn ®Þnh HS mêi quan t©m, s¬ tuyÓn
CK14: Chi phÝ ®¸nh gi¸ HS quan t©m, s¬ tuyÓn
CK15: Chi phÝ ®¸nh gi¸ HSDT, HS§X
CK16: Chi phÝ ®¶m b¶o giao th«ng.
CK17: PhÝ thÈm tra TK (C§T tù thÈm tra)
CK18: PhÝ thÈm tra DT (C§T tù thÈm tra)
CK19: Chi phÝ h¹ng môc chung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Manh Cuong</author>
  </authors>
  <commentList>
    <comment ref="W5" authorId="0" shapeId="0" xr:uid="{00000000-0006-0000-FB00-000001000000}">
      <text>
        <r>
          <rPr>
            <b/>
            <sz val="12"/>
            <color indexed="81"/>
            <rFont val=".VnTime"/>
            <family val="2"/>
          </rPr>
          <t>NhËp gi¸ trÞ X¢Y L¾P tr­íc thuÕ vµo ®©y ®Ó tÝnh % chi phÝ chung «ng anh ¬i!</t>
        </r>
      </text>
    </comment>
    <comment ref="W6" authorId="0" shapeId="0" xr:uid="{00000000-0006-0000-FB00-000002000000}">
      <text>
        <r>
          <rPr>
            <sz val="12"/>
            <color indexed="81"/>
            <rFont val=".VnTime"/>
            <family val="2"/>
          </rPr>
          <t>Vµ ®©y lµ kÕt qu¶.</t>
        </r>
      </text>
    </comment>
    <comment ref="W7" authorId="0" shapeId="0" xr:uid="{00000000-0006-0000-FB00-000003000000}">
      <text>
        <r>
          <rPr>
            <sz val="12"/>
            <color indexed="81"/>
            <rFont val=".VnTime"/>
            <family val="2"/>
          </rPr>
          <t>Vµ ®©y lµ kÕt qu¶.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Manh Cuong</author>
  </authors>
  <commentList>
    <comment ref="V5" authorId="0" shapeId="0" xr:uid="{00000000-0006-0000-FC00-000001000000}">
      <text>
        <r>
          <rPr>
            <b/>
            <sz val="12"/>
            <color indexed="81"/>
            <rFont val=".VnTime"/>
            <family val="2"/>
          </rPr>
          <t>NhËp gi¸ trÞ X¢Y L¾P tr­íc thuÕ vµo ®©y ®Ó tÝnh % chi phÝ chung «ng anh ¬i!</t>
        </r>
      </text>
    </comment>
    <comment ref="V6" authorId="0" shapeId="0" xr:uid="{00000000-0006-0000-FC00-000002000000}">
      <text>
        <r>
          <rPr>
            <sz val="12"/>
            <color indexed="81"/>
            <rFont val=".VnTime"/>
            <family val="2"/>
          </rPr>
          <t>Vµ ®©y lµ kÕt qu¶.</t>
        </r>
      </text>
    </comment>
    <comment ref="V7" authorId="0" shapeId="0" xr:uid="{00000000-0006-0000-FC00-000003000000}">
      <text>
        <r>
          <rPr>
            <sz val="12"/>
            <color indexed="81"/>
            <rFont val=".VnTime"/>
            <family val="2"/>
          </rPr>
          <t>Vµ ®©y lµ kÕt qu¶.</t>
        </r>
      </text>
    </comment>
  </commentList>
</comments>
</file>

<file path=xl/sharedStrings.xml><?xml version="1.0" encoding="utf-8"?>
<sst xmlns="http://schemas.openxmlformats.org/spreadsheetml/2006/main" count="11426" uniqueCount="2910">
  <si>
    <t/>
  </si>
  <si>
    <t>1</t>
  </si>
  <si>
    <t>1 m3</t>
  </si>
  <si>
    <t>C«ng</t>
  </si>
  <si>
    <t>Ca</t>
  </si>
  <si>
    <t>2</t>
  </si>
  <si>
    <t>AA.22112</t>
  </si>
  <si>
    <t>m3</t>
  </si>
  <si>
    <t>3</t>
  </si>
  <si>
    <t>1 m2</t>
  </si>
  <si>
    <t>4</t>
  </si>
  <si>
    <t>5</t>
  </si>
  <si>
    <t>6</t>
  </si>
  <si>
    <t>7</t>
  </si>
  <si>
    <t>8</t>
  </si>
  <si>
    <t>9</t>
  </si>
  <si>
    <t>10</t>
  </si>
  <si>
    <t>11</t>
  </si>
  <si>
    <t>12</t>
  </si>
  <si>
    <t>13</t>
  </si>
  <si>
    <t>14</t>
  </si>
  <si>
    <t>15</t>
  </si>
  <si>
    <t>AD.11222.</t>
  </si>
  <si>
    <t>16</t>
  </si>
  <si>
    <t>Bª t«ng mÆt ®­êng M350, ®¸ 1x2</t>
  </si>
  <si>
    <t xml:space="preserve">   - Xi m¨ng PCB40</t>
  </si>
  <si>
    <t>Kg</t>
  </si>
  <si>
    <t xml:space="preserve">   - C¸t vµng</t>
  </si>
  <si>
    <t xml:space="preserve">   - §¸ d¨m 1x2</t>
  </si>
  <si>
    <t xml:space="preserve">   - N­íc</t>
  </si>
  <si>
    <t xml:space="preserve">   - Nhùa ®­êng</t>
  </si>
  <si>
    <t>17</t>
  </si>
  <si>
    <t>PHUGIA</t>
  </si>
  <si>
    <t>Phô gia Sikament 2000AT</t>
  </si>
  <si>
    <t>1 lit</t>
  </si>
  <si>
    <t xml:space="preserve">   - Phô gia Sikament 2000AT</t>
  </si>
  <si>
    <t>lÝt</t>
  </si>
  <si>
    <t>18</t>
  </si>
  <si>
    <t>AF.82411</t>
  </si>
  <si>
    <t>V¸n khu«n mÆt ®­êng (VK thÐp)</t>
  </si>
  <si>
    <t xml:space="preserve">   - ThÐp h×nh, thÐp tÊm</t>
  </si>
  <si>
    <t xml:space="preserve">   - Que hµn</t>
  </si>
  <si>
    <t>19</t>
  </si>
  <si>
    <t>AL.16201</t>
  </si>
  <si>
    <t xml:space="preserve">   - GiÊy dÇu</t>
  </si>
  <si>
    <t>m2</t>
  </si>
  <si>
    <t>20</t>
  </si>
  <si>
    <t>AL.24113.</t>
  </si>
  <si>
    <t>Lµm khe däc M§ BTXM</t>
  </si>
  <si>
    <t>1m</t>
  </si>
  <si>
    <t>21</t>
  </si>
  <si>
    <t>AL.24111.</t>
  </si>
  <si>
    <t>Lµm khe co M§ BTXM</t>
  </si>
  <si>
    <t>22</t>
  </si>
  <si>
    <t>AL.24112.</t>
  </si>
  <si>
    <t>Lµm khe d·n M§ BTXM</t>
  </si>
  <si>
    <t>23</t>
  </si>
  <si>
    <t>THEP D25</t>
  </si>
  <si>
    <t>Cèt thÐp khe ngang D25-tr¬n</t>
  </si>
  <si>
    <t>TÊn</t>
  </si>
  <si>
    <t xml:space="preserve">   - ThÐp trßn tr¬n D25</t>
  </si>
  <si>
    <t>24</t>
  </si>
  <si>
    <t>AF.61110</t>
  </si>
  <si>
    <t>Cèt thÐp lµm gia ®ë D6</t>
  </si>
  <si>
    <t xml:space="preserve">   - ThÐp trßn d&lt;=10mm</t>
  </si>
  <si>
    <t xml:space="preserve">   - D©y thÐp</t>
  </si>
  <si>
    <t>25</t>
  </si>
  <si>
    <t>THEP D12</t>
  </si>
  <si>
    <t>Cèt thÐp khe däc D12-gê</t>
  </si>
  <si>
    <t xml:space="preserve">   - ThÐp trßn d&lt;=18mm</t>
  </si>
  <si>
    <t>26</t>
  </si>
  <si>
    <t>NHUA</t>
  </si>
  <si>
    <t>QuÐt thanh truyÒn lùc b»ng nhùa ®­êng</t>
  </si>
  <si>
    <t>27</t>
  </si>
  <si>
    <t>MATIT</t>
  </si>
  <si>
    <t>MatÝt chÌn khe</t>
  </si>
  <si>
    <t xml:space="preserve">   - MatÝt</t>
  </si>
  <si>
    <t>28</t>
  </si>
  <si>
    <t>AF.11232</t>
  </si>
  <si>
    <t xml:space="preserve">   - §¸ d¨m 2x4</t>
  </si>
  <si>
    <t>29</t>
  </si>
  <si>
    <t>30</t>
  </si>
  <si>
    <t>C¸i</t>
  </si>
  <si>
    <t>31</t>
  </si>
  <si>
    <t>AF.82511</t>
  </si>
  <si>
    <t>V¸n khu«n</t>
  </si>
  <si>
    <t xml:space="preserve">   - ThÐp tÊm</t>
  </si>
  <si>
    <t xml:space="preserve">   - ThÐp h×nh</t>
  </si>
  <si>
    <t>10tÊn/km</t>
  </si>
  <si>
    <t>62</t>
  </si>
  <si>
    <t>61</t>
  </si>
  <si>
    <t>60</t>
  </si>
  <si>
    <t>59</t>
  </si>
  <si>
    <t>58</t>
  </si>
  <si>
    <t>57</t>
  </si>
  <si>
    <t>56</t>
  </si>
  <si>
    <t>55</t>
  </si>
  <si>
    <t>54</t>
  </si>
  <si>
    <t>53</t>
  </si>
  <si>
    <t>52</t>
  </si>
  <si>
    <t>51</t>
  </si>
  <si>
    <t>50</t>
  </si>
  <si>
    <t>49</t>
  </si>
  <si>
    <t>48</t>
  </si>
  <si>
    <t>47</t>
  </si>
  <si>
    <t>46</t>
  </si>
  <si>
    <t>45</t>
  </si>
  <si>
    <t>44</t>
  </si>
  <si>
    <t>43</t>
  </si>
  <si>
    <t>42</t>
  </si>
  <si>
    <t>41</t>
  </si>
  <si>
    <t>1 C¸i</t>
  </si>
  <si>
    <t>NC3.5/7</t>
  </si>
  <si>
    <t>40</t>
  </si>
  <si>
    <t>39</t>
  </si>
  <si>
    <t>AD.32531v</t>
  </si>
  <si>
    <t>38</t>
  </si>
  <si>
    <t>37</t>
  </si>
  <si>
    <t>36</t>
  </si>
  <si>
    <t>AB.11413</t>
  </si>
  <si>
    <t>35</t>
  </si>
  <si>
    <t>34</t>
  </si>
  <si>
    <t>33</t>
  </si>
  <si>
    <t>32</t>
  </si>
  <si>
    <t>C- M¸y thi c«ng :</t>
  </si>
  <si>
    <t>B- Nh©n c«ng :</t>
  </si>
  <si>
    <t>%</t>
  </si>
  <si>
    <t xml:space="preserve">   - VËt liÖu kh¸c</t>
  </si>
  <si>
    <t>A- VËt liÖu :</t>
  </si>
  <si>
    <t>m</t>
  </si>
  <si>
    <t xml:space="preserve">   - M¸y kh¸c</t>
  </si>
  <si>
    <t xml:space="preserve"> C- M¸y thi c«ng :</t>
  </si>
  <si>
    <t xml:space="preserve"> B- Nh©n c«ng :</t>
  </si>
  <si>
    <t>41.00*Diezel</t>
  </si>
  <si>
    <t>34.00*Diezel</t>
  </si>
  <si>
    <t>§iÓm ®Çu</t>
  </si>
  <si>
    <t>TT</t>
  </si>
  <si>
    <t>Thµnh tiÒn</t>
  </si>
  <si>
    <t>B¶ng dù to¸n chi tiÕt</t>
  </si>
  <si>
    <t>§¬n gi¸</t>
  </si>
  <si>
    <t>Sè hiÖu
®Þnh møc</t>
  </si>
  <si>
    <t>H¹ng môc c«ng t¸c</t>
  </si>
  <si>
    <t>§¬n
vÞ</t>
  </si>
  <si>
    <t>Khèi
l­îng</t>
  </si>
  <si>
    <t>VËt liÖu</t>
  </si>
  <si>
    <t>Nh©n c«ng</t>
  </si>
  <si>
    <t>Ca m¸y</t>
  </si>
  <si>
    <t>M¸y thi c«ng</t>
  </si>
  <si>
    <t>Sè hiÖu
§Þnh møc</t>
  </si>
  <si>
    <t>§¬n 
vÞ</t>
  </si>
  <si>
    <t>§Þnh møc</t>
  </si>
  <si>
    <t>B¶ng gi¸ nh©n c«ng vµ ca m¸y</t>
  </si>
  <si>
    <t>Lo¹i nh©n c«ng
&amp; M¸y thi c«ng</t>
  </si>
  <si>
    <t>§¬n 
VÞ</t>
  </si>
  <si>
    <t>Sè
Ca/
n¨m</t>
  </si>
  <si>
    <t>§m
KhÊu
hao</t>
  </si>
  <si>
    <t>§m
S÷a
ch÷a</t>
  </si>
  <si>
    <t>§m
C.phÝ
kh¸c</t>
  </si>
  <si>
    <t>§Þnh møc
Tiªu hao nhiªn
liÖu, n.l­îng</t>
  </si>
  <si>
    <t>Thµnh phÇn,
cÊp bËc thî ®iÒu
khiÓn m¸y</t>
  </si>
  <si>
    <t>Gi¸ tÝnh
khÊu hao
(1000 ®)</t>
  </si>
  <si>
    <t>Chi phÝ
khÊu hao
VN§</t>
  </si>
  <si>
    <t>Chi phÝ
s÷a ch÷a
VN§</t>
  </si>
  <si>
    <t>Chi phÝ
nh. liÖu
n.l­îng</t>
  </si>
  <si>
    <t>Chi phÝ
l­¬ng
thî m¸y</t>
  </si>
  <si>
    <t>Chi phÝ
kh¸c
VN§</t>
  </si>
  <si>
    <t>§¬n gi¸
1 c«ng,1
ca m¸y</t>
  </si>
  <si>
    <t>B¶ng tÝnh gi¸ vËt liÖu ®Õn ch©n c«ng tr×nh</t>
  </si>
  <si>
    <t>Tªn vËt liÖu</t>
  </si>
  <si>
    <t>§iÓm cuèi</t>
  </si>
  <si>
    <t>BËc
hµng</t>
  </si>
  <si>
    <t>Lo¹i
®­êng</t>
  </si>
  <si>
    <t>Cù
ly
lÎ</t>
  </si>
  <si>
    <t>Tæng
cù ly</t>
  </si>
  <si>
    <t>C­íc
vËn chuyÓn</t>
  </si>
  <si>
    <t>HÖ sè
träng 
l­îng</t>
  </si>
  <si>
    <t>Gi¸ c­íc
vËn chuyÓn</t>
  </si>
  <si>
    <t>Gi¸ th¸ng</t>
  </si>
  <si>
    <t>Gi¸ thµnh</t>
  </si>
  <si>
    <t>STT</t>
  </si>
  <si>
    <t>H¹ng môc chi phÝ</t>
  </si>
  <si>
    <t>KH</t>
  </si>
  <si>
    <t>c¸ch tÝnh</t>
  </si>
  <si>
    <t>®­êng ngang d©n sinh</t>
  </si>
  <si>
    <t>cèng tho¸t n­íc c¸c lo¹i</t>
  </si>
  <si>
    <t>cÇu btct 
d­l l=12m
km15+222.1</t>
  </si>
  <si>
    <t>cèng hép
2x(4.5x4.5)m
km16+866.67</t>
  </si>
  <si>
    <t xml:space="preserve"> Cèng hép (3x3)m
(02 c¸i)</t>
  </si>
  <si>
    <t>tæng céng</t>
  </si>
  <si>
    <t>I</t>
  </si>
  <si>
    <t>chi phÝ trùc tiÕp</t>
  </si>
  <si>
    <t>t</t>
  </si>
  <si>
    <t>Z+VAT</t>
  </si>
  <si>
    <t>% chi phÝ chung</t>
  </si>
  <si>
    <t>Chi phÝ vËt liÖu</t>
  </si>
  <si>
    <t>VL</t>
  </si>
  <si>
    <t>B¶ng DT chi tiÕt</t>
  </si>
  <si>
    <t>% chi phÝ l¸n tr¹i</t>
  </si>
  <si>
    <t>Chi phÝ nh©n c«ng</t>
  </si>
  <si>
    <t>NC</t>
  </si>
  <si>
    <t xml:space="preserve">Chi phÝ m¸y                        </t>
  </si>
  <si>
    <t>M</t>
  </si>
  <si>
    <t>II</t>
  </si>
  <si>
    <t>chi phÝ gi¸n tiÕp</t>
  </si>
  <si>
    <t>GT</t>
  </si>
  <si>
    <t>VL+NC+M</t>
  </si>
  <si>
    <t>Chi phÝ chung</t>
  </si>
  <si>
    <t>C</t>
  </si>
  <si>
    <t>Chi phÝ nhµ t¹m ®Ó ë vµ ®iÒu hµnh thi c«ng</t>
  </si>
  <si>
    <t>LT</t>
  </si>
  <si>
    <t>Chi phÝ mét sè c«ng viÖc kh«ng x¸c ®Þnh ®­îc khèi l­îng tõ TK</t>
  </si>
  <si>
    <t>Chi phÝ gi¸n tiÕp kh¸c</t>
  </si>
  <si>
    <r>
      <t>GT</t>
    </r>
    <r>
      <rPr>
        <vertAlign val="subscript"/>
        <sz val="8"/>
        <rFont val=".VnTime"/>
        <family val="2"/>
      </rPr>
      <t>K</t>
    </r>
  </si>
  <si>
    <t>III</t>
  </si>
  <si>
    <t>Thu nhËp chÞu thuÕ tÝnh tr­íc</t>
  </si>
  <si>
    <t>TN</t>
  </si>
  <si>
    <t>IV</t>
  </si>
  <si>
    <t>chi phÝ x©y dùng tr­íc thuÕ</t>
  </si>
  <si>
    <t>Z</t>
  </si>
  <si>
    <t>T + GT + TN</t>
  </si>
  <si>
    <t>V</t>
  </si>
  <si>
    <t>ThuÕ gi¸ trÞ gia t¨ng</t>
  </si>
  <si>
    <t>VAT</t>
  </si>
  <si>
    <t>VI</t>
  </si>
  <si>
    <t>chi phÝ x©y dùng sau thuÕ</t>
  </si>
  <si>
    <t>G</t>
  </si>
  <si>
    <t>chi phÝ h¹ng môc chung</t>
  </si>
  <si>
    <t>K</t>
  </si>
  <si>
    <t xml:space="preserve">      + X©y dùng l¸n tr¹i thi c«ng</t>
  </si>
  <si>
    <t xml:space="preserve">      + C«ng t¸c kh¸c ch­a x¸c ®Þnh ®­îc tõ TK</t>
  </si>
  <si>
    <t>TK</t>
  </si>
  <si>
    <t>Kinh phÝ m«i tr­êng</t>
  </si>
  <si>
    <t>MT</t>
  </si>
  <si>
    <t>14a</t>
  </si>
  <si>
    <t>PhÝ b¶o vÖ m«i tr­êng</t>
  </si>
  <si>
    <t>KL §Êt*1000</t>
  </si>
  <si>
    <t>14b</t>
  </si>
  <si>
    <t>ThuÕ tµi nguyªn</t>
  </si>
  <si>
    <t>KL §Êt*20000*4%</t>
  </si>
  <si>
    <t>H</t>
  </si>
  <si>
    <t>J</t>
  </si>
  <si>
    <t>L</t>
  </si>
  <si>
    <t>N</t>
  </si>
  <si>
    <t>O</t>
  </si>
  <si>
    <t>P</t>
  </si>
  <si>
    <t>M· hiÖu</t>
  </si>
  <si>
    <t>Tªn c«ng viÖc</t>
  </si>
  <si>
    <t>KÕt qu¶ hÖ sè tra b¶ng</t>
  </si>
  <si>
    <t>C¸ch tÝnh</t>
  </si>
  <si>
    <t>Gi¸ trÞ</t>
  </si>
  <si>
    <t>C¬ quan së h÷u</t>
  </si>
  <si>
    <t>§¹i diÖn Chñ ®µu t­</t>
  </si>
  <si>
    <t>§¬n vÞ TVTK</t>
  </si>
  <si>
    <t>§¬n vÞ TV TTr</t>
  </si>
  <si>
    <t>§¬n vÞ TVGS</t>
  </si>
  <si>
    <t>§¬n vÞ TV hoÆc Chñ ®Çu t­</t>
  </si>
  <si>
    <t xml:space="preserve">  - Chi phÝ kiÓm ®Þnh CL c«ng tr×nh</t>
  </si>
  <si>
    <t>§¬n vÞ TV K§</t>
  </si>
  <si>
    <t>§¹i diÖn C§T, khi thuª TVTTr</t>
  </si>
  <si>
    <t>C¬ quan quyÕt ®Þnh dÇu t­</t>
  </si>
  <si>
    <t xml:space="preserve">  - Chi phÝ kiÓm to¸n</t>
  </si>
  <si>
    <t>§¬n vÞ kiÓm to¸n</t>
  </si>
  <si>
    <t xml:space="preserve">  - ThÈm tra phª duyÖt quyÕt to¸n</t>
  </si>
  <si>
    <t>Së Tµi chÝnh</t>
  </si>
  <si>
    <t xml:space="preserve">  - B¶o hiÓm c«ng tr×nh HTKT</t>
  </si>
  <si>
    <t>C¬ quan b¶o hiÓm</t>
  </si>
  <si>
    <t xml:space="preserve">  - B¶o hiÓm c«ng tr×nh GT</t>
  </si>
  <si>
    <t xml:space="preserve">  - Chi phÝ lËp HSMT, HSYC</t>
  </si>
  <si>
    <t>Chñ ®Çu t­</t>
  </si>
  <si>
    <t xml:space="preserve">  - Chi phÝ thÈm ®Þnh HSMT, HSYC</t>
  </si>
  <si>
    <t>Héi ®ång chÊm thÇu</t>
  </si>
  <si>
    <t xml:space="preserve">  - Chi phÝ thÈm ®Þnh KQ ®Êu thÇu</t>
  </si>
  <si>
    <t xml:space="preserve">  - Gi¶i quyÕt kiÕn nghÞ sau ®Êu thÇu</t>
  </si>
  <si>
    <t xml:space="preserve">  - Chi phÝ lËp HS mêi quan t©m, s¬ tuyÓn</t>
  </si>
  <si>
    <t xml:space="preserve">  - Chi phÝ ®¸nh gi¸ HS quan t©m, s¬ tuyÓn</t>
  </si>
  <si>
    <t xml:space="preserve">  - Chi phÝ ®¸nh gi¸ HSDT, HS§X</t>
  </si>
  <si>
    <t>Xem b¶ng sau</t>
  </si>
  <si>
    <t>Nhµ thÇu XL</t>
  </si>
  <si>
    <t>Chñ ®Çu t­ tù thÈm tra</t>
  </si>
  <si>
    <t>H.sè ®c</t>
  </si>
  <si>
    <t>VAT
(%)</t>
  </si>
  <si>
    <t>* Tæng chi phÝ x©y l¾p :</t>
  </si>
  <si>
    <t>XL</t>
  </si>
  <si>
    <t>Xem b¶ng TH KPXL</t>
  </si>
  <si>
    <t>QL</t>
  </si>
  <si>
    <t>* Chi phÝ T­ vÊn §T XD:</t>
  </si>
  <si>
    <t>TV</t>
  </si>
  <si>
    <t>* Chi phÝ kh¸c :</t>
  </si>
  <si>
    <t>CK</t>
  </si>
  <si>
    <t>* §Òn bï GPMB:</t>
  </si>
  <si>
    <t>§B</t>
  </si>
  <si>
    <t>* Chi phÝ dù phßng :</t>
  </si>
  <si>
    <t>DP</t>
  </si>
  <si>
    <t xml:space="preserve">  - Do yÕu tè khèi l­îng c«ng viÖc ph¸t sinh</t>
  </si>
  <si>
    <t>D1</t>
  </si>
  <si>
    <t xml:space="preserve">  - Do yÕu tè tr­ît gi¸</t>
  </si>
  <si>
    <t>D2</t>
  </si>
  <si>
    <t>VII</t>
  </si>
  <si>
    <t>* Tæng céng dù to¸n :</t>
  </si>
  <si>
    <t>XL+QL+TV+CK+§B+DP</t>
  </si>
  <si>
    <t>TM§T</t>
  </si>
  <si>
    <t>B¶ng dù to¸n chi phÝ kh¶o s¸t x©y dùng</t>
  </si>
  <si>
    <t>C«ng tr×nh :</t>
  </si>
  <si>
    <t>Lý tr×nh :</t>
  </si>
  <si>
    <t>H¹ng môc :</t>
  </si>
  <si>
    <t>Nh©n c«ng ®iÒu tra, thu thËp sè liÖu</t>
  </si>
  <si>
    <t>c«ng</t>
  </si>
  <si>
    <t>CK.11530</t>
  </si>
  <si>
    <t>1 ha</t>
  </si>
  <si>
    <t>CH.11130</t>
  </si>
  <si>
    <t>1 m</t>
  </si>
  <si>
    <t>CH.11230</t>
  </si>
  <si>
    <t>CG.11350</t>
  </si>
  <si>
    <t>Khèng chÕ ®é cao, thuû chuÈn KT, §H cÊp V</t>
  </si>
  <si>
    <t>1 km</t>
  </si>
  <si>
    <t>CK.11550</t>
  </si>
  <si>
    <t>CH.11150</t>
  </si>
  <si>
    <t>§o vÏ mÆt c¾t däc ®­êng míi trªn c¹n, §H cÊp V</t>
  </si>
  <si>
    <t>CH.11250</t>
  </si>
  <si>
    <t>§o vÏ mÆt c¾t ngang ®­êng míi trªn c¹n, §H cÊp V</t>
  </si>
  <si>
    <t>Kh¶o s¸t nót giao th«ng</t>
  </si>
  <si>
    <t>CK.11450</t>
  </si>
  <si>
    <t>§o vÏ b×nh ®å ë trªn c¹n, tû lÖ 1/500, ®­êng ®ång møc 1m, ®Þa h×nh cÊp V</t>
  </si>
  <si>
    <t>Kh¶o s¸t c«ng tr×nh tho¸t n­íc:</t>
  </si>
  <si>
    <t xml:space="preserve">Kh¶o s¸t thñy v¨n </t>
  </si>
  <si>
    <t xml:space="preserve">Kh¶o s¸t ®Þa chÊt, má vËt liÖu </t>
  </si>
  <si>
    <t>CC.11110</t>
  </si>
  <si>
    <t>Khoan tay trªn c¹n, ®é s©u &lt;=10m, cÊp ®Êt ®¸ I-III</t>
  </si>
  <si>
    <t>CC.11120</t>
  </si>
  <si>
    <t>Khoan tay trªn c¹n, ®é s©u &lt;=10m, cÊp ®Êt ®¸ IV-V</t>
  </si>
  <si>
    <t>DC.02011</t>
  </si>
  <si>
    <t>TN c¬ lý ho¸ cña ®Êt nÐn 1 trôc cã në h«ng</t>
  </si>
  <si>
    <t>1 mÉu</t>
  </si>
  <si>
    <t>DC.04002</t>
  </si>
  <si>
    <t>ThÝ nghiÖm nÐn sËp mÉu ®Êt - trong phßng</t>
  </si>
  <si>
    <t>DC.05002</t>
  </si>
  <si>
    <t>ThÝ nghiÖm ®Çm nÐn tiªu chuÈn mÉu ®Êt (PPI-D)</t>
  </si>
  <si>
    <t>Tæng céng:</t>
  </si>
  <si>
    <t>Lµm trßn</t>
  </si>
  <si>
    <t>CG.11330</t>
  </si>
  <si>
    <t>Khèng chÕ ®é cao, thuû chuÈn KT, §H cÊp III</t>
  </si>
  <si>
    <t>CG.11340</t>
  </si>
  <si>
    <t>Khèng chÕ ®é cao, thuû chuÈn KT, §H cÊp IV</t>
  </si>
  <si>
    <t>CF.11210</t>
  </si>
  <si>
    <t>Khèng chÕ MB ®­êng chuyÒn h¹ng 4, §H cÊp III</t>
  </si>
  <si>
    <t>1 ®iÓm</t>
  </si>
  <si>
    <t>CF.11610</t>
  </si>
  <si>
    <t>CF.21130</t>
  </si>
  <si>
    <t>C¾m mèc chØ giíi ®á, ranh giíi Qho¹ch, §H cÊp III</t>
  </si>
  <si>
    <t>CF.21140</t>
  </si>
  <si>
    <t>C¾m mèc chØ giíi ®á, ranh giíi Qho¹ch, §H cÊp IV</t>
  </si>
  <si>
    <t>CF.21150</t>
  </si>
  <si>
    <t>C¾m mèc chØ giíi ®á, ranh giíi Qho¹ch, §H cÊp V</t>
  </si>
  <si>
    <t>CK.11540</t>
  </si>
  <si>
    <t>§o vÏ b×nh ®å ë trªn c¹n, tû lÖ 1/1000,</t>
  </si>
  <si>
    <t>®­êng ®ång møc 1m,®Þa h×nh cÊp IV</t>
  </si>
  <si>
    <t>CK.11430</t>
  </si>
  <si>
    <t>§o vÏ b×nh ®å ë trªn c¹n, tû lÖ 1/500,</t>
  </si>
  <si>
    <t>®­êng ®ång møc 1m, ®Þa h×nh cÊp III</t>
  </si>
  <si>
    <t>CK.11440</t>
  </si>
  <si>
    <t>®­êng ®ång møc 1m, ®Þa h×nh cÊp IV</t>
  </si>
  <si>
    <t>CK.31530</t>
  </si>
  <si>
    <t>§o vÏ b×nh ®å ë d­íi n­íc, tû lÖ 1/1000,</t>
  </si>
  <si>
    <t>CK.31540</t>
  </si>
  <si>
    <t>CK.31550</t>
  </si>
  <si>
    <t>®­êng ®ång møc 1m, ®Þa h×nh cÊp V</t>
  </si>
  <si>
    <t>CK.31430</t>
  </si>
  <si>
    <t>§o vÏ b×nh ®å ë d­íi n­íc, tû lÖ 1/500,</t>
  </si>
  <si>
    <t>CK.31440</t>
  </si>
  <si>
    <t>CK.31450</t>
  </si>
  <si>
    <t>CH.11140</t>
  </si>
  <si>
    <t>§o vÏ mÆt c¾t däc ®­êng míi trªn c¹n, §H cÊp IV</t>
  </si>
  <si>
    <t>CH.11240</t>
  </si>
  <si>
    <t>CH.11330</t>
  </si>
  <si>
    <t>CH.11340</t>
  </si>
  <si>
    <t>CH.11350</t>
  </si>
  <si>
    <t>CH.11430</t>
  </si>
  <si>
    <t>CH.11440</t>
  </si>
  <si>
    <t>CH.11450</t>
  </si>
  <si>
    <t>CC.11210</t>
  </si>
  <si>
    <t>Khoan tay trªn c¹n, ®é s©u &lt;=20m, cÊp ®Êt ®¸ I-III</t>
  </si>
  <si>
    <t>CC.11220</t>
  </si>
  <si>
    <t>Khoan tay trªn c¹n, ®é s©u &lt;=20m, cÊp ®Êt ®¸ IV-V</t>
  </si>
  <si>
    <t>CC.21110</t>
  </si>
  <si>
    <t>CC.21120</t>
  </si>
  <si>
    <t>CC.21130</t>
  </si>
  <si>
    <t>CC.21140</t>
  </si>
  <si>
    <t>CC.21150</t>
  </si>
  <si>
    <t>1 c«ng</t>
  </si>
  <si>
    <t>CC.31110</t>
  </si>
  <si>
    <t>CC.31120</t>
  </si>
  <si>
    <t>CC.31130</t>
  </si>
  <si>
    <t>CC.31140</t>
  </si>
  <si>
    <t>CE.11410</t>
  </si>
  <si>
    <t>ThÝ nghiÖm SPT,§Êt ®¸ cÊp 1 - 3 (hiÖn tr­êng)</t>
  </si>
  <si>
    <t>1 lÇn TN</t>
  </si>
  <si>
    <t>CE.11420</t>
  </si>
  <si>
    <t>ThÝ nghiÖm SPT,§Êt ®¸ cÊp 4 - 6 (hiÖn tr­êng)</t>
  </si>
  <si>
    <t>CE.12110</t>
  </si>
  <si>
    <t>ThÝ nghiÖm CBR hiÖn tr­êng</t>
  </si>
  <si>
    <t>1 ®iÓmTN</t>
  </si>
  <si>
    <t>CE.12210</t>
  </si>
  <si>
    <t>§o m«®un ®µn håi b»ng cÇn Belkenman</t>
  </si>
  <si>
    <t>CE.12410</t>
  </si>
  <si>
    <t>§o m«®un ®µn håi=tÊm Ðp cøng D34cm</t>
  </si>
  <si>
    <t>DC.02012</t>
  </si>
  <si>
    <t>TN c¬ lý ho¸ cña ®Êt nÐn 3 trôc cã në h«ng</t>
  </si>
  <si>
    <t>DC.05001</t>
  </si>
  <si>
    <t>ThÝ nghiÖm ®Çm nÐn tiªu chuÈn mÉu ®Êt (PPI-A)</t>
  </si>
  <si>
    <t>DC.08001</t>
  </si>
  <si>
    <t>TN x¸c ®Þnh chØ tiªu c¬ lý mÉu ®¸ - trong phßng</t>
  </si>
  <si>
    <t>DC.06001</t>
  </si>
  <si>
    <t>B¶ng ph©n tÝch ®¬n gi¸ kh¶o s¸t</t>
  </si>
  <si>
    <t>HÖ sè VL</t>
  </si>
  <si>
    <t>HÖ sè NC</t>
  </si>
  <si>
    <t>HÖ sè M¸y</t>
  </si>
  <si>
    <t>Thu nhËp tr­íc thuÕ</t>
  </si>
  <si>
    <t>LËp PAKS</t>
  </si>
  <si>
    <t>LËp BCKS</t>
  </si>
  <si>
    <t>H¹ng môc chung</t>
  </si>
  <si>
    <t>HÖ sè ®c</t>
  </si>
  <si>
    <t xml:space="preserve">   - Sæ ®o</t>
  </si>
  <si>
    <t>QuyÓn</t>
  </si>
  <si>
    <t xml:space="preserve">   - Kü s­ 4.0/8</t>
  </si>
  <si>
    <t xml:space="preserve">   - Nh©n c«ng bËc 4.0/7</t>
  </si>
  <si>
    <t xml:space="preserve">   - M¸y thuû b×nh ®iÖn tö PLP-110</t>
  </si>
  <si>
    <t xml:space="preserve">   + Chi phÝ chung</t>
  </si>
  <si>
    <t xml:space="preserve">   + Chi phÝ lËp ph­¬ng ¸n KS</t>
  </si>
  <si>
    <t>PA</t>
  </si>
  <si>
    <t xml:space="preserve">   + Chi phÝ lËp B¸o c¸o KS</t>
  </si>
  <si>
    <t>BC</t>
  </si>
  <si>
    <t xml:space="preserve">   - Xi m¨ng PC30</t>
  </si>
  <si>
    <t xml:space="preserve">   - §inh + d©y thÐp</t>
  </si>
  <si>
    <t xml:space="preserve">   - S¬n tr¾ng &amp; ®á</t>
  </si>
  <si>
    <t xml:space="preserve">   - §inh ch÷ U</t>
  </si>
  <si>
    <t xml:space="preserve">   - Nh©n c«ng bËc 4.5/7</t>
  </si>
  <si>
    <t xml:space="preserve">   - M¸y toµn ®¹c ®iÖn tö TS06</t>
  </si>
  <si>
    <t>®­êng ®ång møc 1m,®Þa h×nh cÊp III</t>
  </si>
  <si>
    <t xml:space="preserve">   - Cäc gç (4x4x40)cm</t>
  </si>
  <si>
    <t>Cäc</t>
  </si>
  <si>
    <t>®­êng ®ång møc 1m,®Þa h×nh cÊp V</t>
  </si>
  <si>
    <t xml:space="preserve">   - Mèc bª t«ng ®óc s½n</t>
  </si>
  <si>
    <t>§o vÏ mÆt c¾t däc ®­êng míi d­íi n­íc, §H cÊp III</t>
  </si>
  <si>
    <t>§o vÏ mÆt c¾t däc ®­êng míi d­íi n­íc, §H cÊp IV</t>
  </si>
  <si>
    <t>§o vÏ mÆt c¾t däc ®­êng míi d­íi n­íc, §H cÊp V</t>
  </si>
  <si>
    <t>§o vÏ m/c¾t ngang ®­êng míi d­íi n­íc, §H cÊp III</t>
  </si>
  <si>
    <t>§o vÏ m/c¾t ngang ®­êng míi d­íi n­íc, §H cÊp IV</t>
  </si>
  <si>
    <t>§o vÏ m/c¾t ngang ®­êng míi d­íi n­íc, §H cÊp V</t>
  </si>
  <si>
    <t xml:space="preserve">   - Mòi khoan</t>
  </si>
  <si>
    <t xml:space="preserve">   - CÇn khoan</t>
  </si>
  <si>
    <t xml:space="preserve">   - Bé gia mèc cÇn khoan</t>
  </si>
  <si>
    <t>Bé</t>
  </si>
  <si>
    <t xml:space="preserve">   - èng chèng</t>
  </si>
  <si>
    <t xml:space="preserve">   - §Çu nèi èng chèng</t>
  </si>
  <si>
    <t xml:space="preserve">   - C¸p thÐp d©y d6-d8mm</t>
  </si>
  <si>
    <t xml:space="preserve">   - Hép t«n (200x100x1)mm</t>
  </si>
  <si>
    <t xml:space="preserve">   - Hép nhùa (400x400x400)mm</t>
  </si>
  <si>
    <t xml:space="preserve">   - Hép nhùa 24 « ®ùng mÉu l­u</t>
  </si>
  <si>
    <t xml:space="preserve">   - Bé èng mÉu nguyªn d¹ng</t>
  </si>
  <si>
    <t xml:space="preserve">   - Gç nhãm V</t>
  </si>
  <si>
    <t xml:space="preserve">   - Bé khoan tay</t>
  </si>
  <si>
    <t xml:space="preserve">   - Mòi khoan hîp kim</t>
  </si>
  <si>
    <t xml:space="preserve">   - §Çu nèi cÇn</t>
  </si>
  <si>
    <t xml:space="preserve">   - èng mÉu ®¬n</t>
  </si>
  <si>
    <t xml:space="preserve">   - èng mÉu kÐp</t>
  </si>
  <si>
    <t xml:space="preserve">   - M¸y khoan XY-1A</t>
  </si>
  <si>
    <t xml:space="preserve">   - Mòi khoan kim c­¬ng</t>
  </si>
  <si>
    <t xml:space="preserve">   - Bé më réng kim c­¬ng</t>
  </si>
  <si>
    <t xml:space="preserve">   - Nh©n c«ng bËc 3.5/7</t>
  </si>
  <si>
    <t xml:space="preserve">   - Mòi xuyªn c¾t</t>
  </si>
  <si>
    <t xml:space="preserve">   - èng mÉu</t>
  </si>
  <si>
    <t>èng</t>
  </si>
  <si>
    <t xml:space="preserve">   - Hép gç ®ùng mÉu</t>
  </si>
  <si>
    <t>Hép</t>
  </si>
  <si>
    <t xml:space="preserve">   - Bé dông cô thÝ nghiÖm SPT</t>
  </si>
  <si>
    <t xml:space="preserve">   - Mòi xuyªn h×nh nãn</t>
  </si>
  <si>
    <t xml:space="preserve">   - §¸ héc</t>
  </si>
  <si>
    <t xml:space="preserve">   - D©y ®iÖn 1x2</t>
  </si>
  <si>
    <t xml:space="preserve">   - Bãng ®iÖn 220V-200W</t>
  </si>
  <si>
    <t xml:space="preserve">   - Th­íc d©y 50m</t>
  </si>
  <si>
    <t xml:space="preserve">   - ¤ t« t¶i 12T</t>
  </si>
  <si>
    <t xml:space="preserve">   - M¸y ph¸t ®iÖn 2.5-3.0kW</t>
  </si>
  <si>
    <t xml:space="preserve">   - Bé thiÕt bÞ CBR hiÖn tr­êng</t>
  </si>
  <si>
    <t xml:space="preserve">   - KÝch thñy lùc 50T</t>
  </si>
  <si>
    <t xml:space="preserve">   - CÇn Belkenman</t>
  </si>
  <si>
    <t xml:space="preserve">   - Dµn ®o lón</t>
  </si>
  <si>
    <t xml:space="preserve">   - §ång hå ®o lón</t>
  </si>
  <si>
    <t xml:space="preserve">   - Bµn nÐn D=34cm</t>
  </si>
  <si>
    <t xml:space="preserve">   - XÎng</t>
  </si>
  <si>
    <t xml:space="preserve">   - Cuèc chim</t>
  </si>
  <si>
    <t xml:space="preserve">   - Dao g¹t ®Êt</t>
  </si>
  <si>
    <t xml:space="preserve">   - C¸t chuÈn</t>
  </si>
  <si>
    <t xml:space="preserve">   - DÇm I 300 - 350 dµi h¬n 3.5m</t>
  </si>
  <si>
    <t xml:space="preserve">   - Tñ sÊy 3KW (®Ó sÊy c¸t)</t>
  </si>
  <si>
    <t xml:space="preserve">   - §iÖn n¨ng</t>
  </si>
  <si>
    <t>KWh</t>
  </si>
  <si>
    <t xml:space="preserve">   - Khay men</t>
  </si>
  <si>
    <t xml:space="preserve">   - M¸y nÐn 1 trôc</t>
  </si>
  <si>
    <t xml:space="preserve">   - C©n kü thuËt</t>
  </si>
  <si>
    <t xml:space="preserve">   - èng lÊy mÉu</t>
  </si>
  <si>
    <t xml:space="preserve">   - Cèc thñy tinh cao 25mm, §k 50mm</t>
  </si>
  <si>
    <t xml:space="preserve">   - PhÔu thñy tinh</t>
  </si>
  <si>
    <t xml:space="preserve">   - C©n ph©n tÝch</t>
  </si>
  <si>
    <t xml:space="preserve">   - M¸y ch­ng cÊt n­íc</t>
  </si>
  <si>
    <t xml:space="preserve">   - M¸y nÐn 3 trôc</t>
  </si>
  <si>
    <t xml:space="preserve">   - B×nh hót Èm</t>
  </si>
  <si>
    <t xml:space="preserve">   - ChËu thñy tinh</t>
  </si>
  <si>
    <t xml:space="preserve">   - §Üa s¾t tr¸ng men</t>
  </si>
  <si>
    <t xml:space="preserve">   - Hép nh«m</t>
  </si>
  <si>
    <t xml:space="preserve">   - Dao vßng thÊm</t>
  </si>
  <si>
    <t xml:space="preserve">   - Tñ sÊy</t>
  </si>
  <si>
    <t xml:space="preserve">   - M¸y hót ch©n kh«ng</t>
  </si>
  <si>
    <t xml:space="preserve">   - Cèi chÕ bÞ (101.6x116.43)mm</t>
  </si>
  <si>
    <t xml:space="preserve">   - M¸y ®Çm tiªu chuÈn</t>
  </si>
  <si>
    <t xml:space="preserve">   - KÝch th¸o mÉu</t>
  </si>
  <si>
    <t xml:space="preserve">   - Cèi chÕ bÞ (152.4x116.43)mm</t>
  </si>
  <si>
    <t xml:space="preserve">   - Cèi gi· ®¸</t>
  </si>
  <si>
    <t xml:space="preserve">   - §e ghÌ ®¸</t>
  </si>
  <si>
    <t xml:space="preserve">   - B×nh thñy tinh</t>
  </si>
  <si>
    <t xml:space="preserve">   - B×nh tû träng</t>
  </si>
  <si>
    <t xml:space="preserve">   - ChÐn sø</t>
  </si>
  <si>
    <t xml:space="preserve">   - R©y ®Þa chÊt</t>
  </si>
  <si>
    <t xml:space="preserve">   - M¸y c­a ®¸ vµ mµi ®¸</t>
  </si>
  <si>
    <t xml:space="preserve">   - M¸y khoan mÉu ®¸</t>
  </si>
  <si>
    <t xml:space="preserve">   - M¸y Ðp mÉu ®¸</t>
  </si>
  <si>
    <t xml:space="preserve">   - M¸y x¸c ®Þnh m« ®un</t>
  </si>
  <si>
    <t xml:space="preserve">   - BÕp c¸t</t>
  </si>
  <si>
    <t xml:space="preserve">   - M¸y b¬m n­íc 0.75KW</t>
  </si>
  <si>
    <t>T.NghiÖm CBR mÉu ®Êt - ®¸ (trong phßng)
(California bearing ratio)</t>
  </si>
  <si>
    <t xml:space="preserve">   - Cèi chÕ bÞ (152.4x177.8)mm</t>
  </si>
  <si>
    <t xml:space="preserve">   - M¸y ®Çm</t>
  </si>
  <si>
    <t xml:space="preserve">   - M¸y CBR (Anh hoÆc Ph¸p)</t>
  </si>
  <si>
    <t>1x4/7</t>
  </si>
  <si>
    <t>4.00*KWh</t>
  </si>
  <si>
    <t>1x3/7</t>
  </si>
  <si>
    <t>2.00*Diezel</t>
  </si>
  <si>
    <t>1x5/7</t>
  </si>
  <si>
    <t>7.20*KWh</t>
  </si>
  <si>
    <t>1x3/4L5</t>
  </si>
  <si>
    <t>HÖ sè
®c.bËc
hµng</t>
  </si>
  <si>
    <t>HÖ sè
n©ng
h¹ben</t>
  </si>
  <si>
    <t>C­íc
bèc dì</t>
  </si>
  <si>
    <t xml:space="preserve">     0</t>
  </si>
  <si>
    <t xml:space="preserve">   - R©y ®Þa chÊt c«ng tr×nh</t>
  </si>
  <si>
    <t>§· cËp nhËt theo TT sè 16/Q§-BXD, ngµy 15/12/2019</t>
  </si>
  <si>
    <t>Tr·i giÊy dÇu d­íi M§</t>
  </si>
  <si>
    <t>AB.66143</t>
  </si>
  <si>
    <t>AF.82611</t>
  </si>
  <si>
    <t>V¸n khu«n m¸i</t>
  </si>
  <si>
    <t>AB.25123</t>
  </si>
  <si>
    <t>AB.65130</t>
  </si>
  <si>
    <t>1 rä</t>
  </si>
  <si>
    <t xml:space="preserve">   - C¸t ®en</t>
  </si>
  <si>
    <t xml:space="preserve">   - §¸ d¨m 4x6</t>
  </si>
  <si>
    <t>§o vÏ mÆt c¾t däc ®­êng cò trªn c¹n, §H cÊp III</t>
  </si>
  <si>
    <t>§o vÏ mÆt c¾t ngang ®­êng cò trªn c¹n, §H cÊp III</t>
  </si>
  <si>
    <t xml:space="preserve">   * Chi phÝ trùc tiÕp</t>
  </si>
  <si>
    <t xml:space="preserve">   * Chi phÝ gi¸n tiÕp</t>
  </si>
  <si>
    <t>Ch+MC</t>
  </si>
  <si>
    <t>Ch</t>
  </si>
  <si>
    <t xml:space="preserve">   + Chi phÝ l¸n tr¹i+ chi phÝ kh«ng x.®Þnh ®­îc k.l­îng tõ TK</t>
  </si>
  <si>
    <t>MC</t>
  </si>
  <si>
    <t xml:space="preserve">   * Thu nhËp chÞu thuÕ tÝnh tr­íc</t>
  </si>
  <si>
    <t>TL</t>
  </si>
  <si>
    <t>PA+BC</t>
  </si>
  <si>
    <t xml:space="preserve">   * Chi phÝ Kh¶o s¸t tr­íc thuÕ</t>
  </si>
  <si>
    <t>TT+GT+TL+K</t>
  </si>
  <si>
    <t xml:space="preserve">   * ThuÕ gi¸ trÞ gia t¨ng</t>
  </si>
  <si>
    <t xml:space="preserve">   * Chi phÝ kh¶o s¸t sau thuÕ</t>
  </si>
  <si>
    <t>A</t>
  </si>
  <si>
    <t>B</t>
  </si>
  <si>
    <t>KV2</t>
  </si>
  <si>
    <t>AB.11323</t>
  </si>
  <si>
    <t>AK.98120</t>
  </si>
  <si>
    <t>AB.51710</t>
  </si>
  <si>
    <t xml:space="preserve">   - §¸ d¨m Dmax &lt;=6</t>
  </si>
  <si>
    <t>C©y</t>
  </si>
  <si>
    <t>c¸i</t>
  </si>
  <si>
    <t>Söa mÆt ®­êng Km0+037-Km0+230</t>
  </si>
  <si>
    <t>K. l­îng</t>
  </si>
  <si>
    <t>LÊp ®Êt mãng</t>
  </si>
  <si>
    <t>\4- C¸c h¹ng môc kh¸c</t>
  </si>
  <si>
    <t>§ôc bª t«ng M§ cò vÞ trÝ vuèt nèi</t>
  </si>
  <si>
    <t>AF.15414</t>
  </si>
  <si>
    <t>Bª t«ng vuèt ®­êng d©n sinh M250, ®¸ 1x2</t>
  </si>
  <si>
    <t xml:space="preserve">   - CP§D lo¹i 1 Dmax=25mm</t>
  </si>
  <si>
    <t>C+LT+TT</t>
  </si>
  <si>
    <t>KV1</t>
  </si>
  <si>
    <t>KV3</t>
  </si>
  <si>
    <t>§K§C</t>
  </si>
  <si>
    <t>Kh¶o s¸t ®¨ng ký ®­êng cò</t>
  </si>
  <si>
    <t>AG.11513</t>
  </si>
  <si>
    <t>AG.32211</t>
  </si>
  <si>
    <t>V¸n khu«n èng cèng</t>
  </si>
  <si>
    <t>AG.13311</t>
  </si>
  <si>
    <t>AG.11413</t>
  </si>
  <si>
    <t>AG.32511</t>
  </si>
  <si>
    <t>AG.13231</t>
  </si>
  <si>
    <t>VUAM100</t>
  </si>
  <si>
    <t>AF.11314</t>
  </si>
  <si>
    <t>§AT</t>
  </si>
  <si>
    <t xml:space="preserve">   - §Êt ®¾p</t>
  </si>
  <si>
    <t>AC.22311d</t>
  </si>
  <si>
    <t>AC.22311t</t>
  </si>
  <si>
    <t>L¾p ®Æt t­êng hé lan mÒm</t>
  </si>
  <si>
    <t>TSG</t>
  </si>
  <si>
    <t>1 tÊm</t>
  </si>
  <si>
    <t>bé</t>
  </si>
  <si>
    <t>T§</t>
  </si>
  <si>
    <t>MAT</t>
  </si>
  <si>
    <t>AB.27113</t>
  </si>
  <si>
    <t>AB.31143</t>
  </si>
  <si>
    <t>AD.25121.</t>
  </si>
  <si>
    <t>§µo r·nh däc b»ng m¸y</t>
  </si>
  <si>
    <t>AB.11513</t>
  </si>
  <si>
    <t>§µo r·nh däc b»ng nh©n c«ng</t>
  </si>
  <si>
    <t>AB.64123</t>
  </si>
  <si>
    <t>AB.24143</t>
  </si>
  <si>
    <t>AB.31144</t>
  </si>
  <si>
    <t>§µo mÆt ®­êng cò</t>
  </si>
  <si>
    <t>Lu lÌn mãng cò</t>
  </si>
  <si>
    <t>AD.24223</t>
  </si>
  <si>
    <t>T­íi nhò t­¬ng thÊm b¸m TC 1.0kg/m2</t>
  </si>
  <si>
    <t>AD.23225.</t>
  </si>
  <si>
    <t>R¶i th¶m BTN C19 dµy 7cm</t>
  </si>
  <si>
    <t>1 TÊn</t>
  </si>
  <si>
    <t>AD.24221</t>
  </si>
  <si>
    <t>AD.23233.</t>
  </si>
  <si>
    <t>R¶i th¶m BTN C12.5 dµy 5cm</t>
  </si>
  <si>
    <t>AL.16201v</t>
  </si>
  <si>
    <t>Tr·i l­íi ®Þa KT cèt sîi thñy tinh trªn mÆt BTXM</t>
  </si>
  <si>
    <t>§µo mãng cäc tiªu, biÓn b¸o</t>
  </si>
  <si>
    <t>AD.31111.</t>
  </si>
  <si>
    <t>Lµm cäc tiªu b»ng BTCT (15x15x100)cm</t>
  </si>
  <si>
    <t>BT mãng cäc tiªu, biÓn b¸o M150, ®¸ 2x4</t>
  </si>
  <si>
    <t>AD.32521v</t>
  </si>
  <si>
    <t>Sx, l¾p ®Æt biÓn b¸o trßn D90cm</t>
  </si>
  <si>
    <t>1 bé</t>
  </si>
  <si>
    <t>Sx, l¾p ®Æt biÓn b¸o tam gi¸c c¹nh 87.5cm</t>
  </si>
  <si>
    <t>§ãng trô t­êng hé lan mÒm (1.3m d­íi ®Êt)</t>
  </si>
  <si>
    <t>§ãng trô t­êng hé lan mÒm (0.95m trªn mÆt ®Êt)</t>
  </si>
  <si>
    <t>§µo ®Êt mãng t­êng hé lan</t>
  </si>
  <si>
    <t>Bª t«ng mãng THL M200, ®¸ 2x4</t>
  </si>
  <si>
    <t>AD.34130v</t>
  </si>
  <si>
    <t>TÊm sãng gi÷a (2330x310x3)mm, ss400 - 10 lç</t>
  </si>
  <si>
    <t>COT D114</t>
  </si>
  <si>
    <t>Cét trßn D141.3x4.5x2250mm, ss400</t>
  </si>
  <si>
    <t>D114-L1.97</t>
  </si>
  <si>
    <t>Cét trßn D141.3x4.5x1975mm, ss400</t>
  </si>
  <si>
    <t>D114-L1.65</t>
  </si>
  <si>
    <t>Cét trßn D141.3x4.5x1650mm, ss400</t>
  </si>
  <si>
    <t>B§</t>
  </si>
  <si>
    <t>B¶n ®Öm (quai nhª)x5mm, ss400</t>
  </si>
  <si>
    <t>M¾t ph¶n quang (3M-3900), ss400</t>
  </si>
  <si>
    <t>BL-M20x180</t>
  </si>
  <si>
    <t>Bu lon M20, L=180mm</t>
  </si>
  <si>
    <t>BL-M16x36</t>
  </si>
  <si>
    <t>Bu lon M16, L=36mm</t>
  </si>
  <si>
    <t>S¬n kÎ ®­êng ph.quang mµu vµng dµy 2mm</t>
  </si>
  <si>
    <t>\1- M­¬ng hép ch÷ nhËt (50x70)cm:</t>
  </si>
  <si>
    <t>AF.13213</t>
  </si>
  <si>
    <t>Bª t«ng m­¬ng hép BT M200, ®¸ 1x2</t>
  </si>
  <si>
    <t>Gia c«ng cèt thÐp m­¬ng §K&lt;=10mm</t>
  </si>
  <si>
    <t>AF.61120</t>
  </si>
  <si>
    <t>Gia c«ng cèt thÐp m­¬ng §K&lt;=18mm</t>
  </si>
  <si>
    <t>AG.11414</t>
  </si>
  <si>
    <t>Bª t«ng ®an ®Ëy M250, ®¸ 1x2</t>
  </si>
  <si>
    <t>1  m3</t>
  </si>
  <si>
    <t>V¸n khu«n ®an</t>
  </si>
  <si>
    <t>AG.13221</t>
  </si>
  <si>
    <t>Cèt thÐp tÊm ®an</t>
  </si>
  <si>
    <t>1 tÊn</t>
  </si>
  <si>
    <t>PVC D34</t>
  </si>
  <si>
    <t>èng PVC D34 t¹o lç ®an</t>
  </si>
  <si>
    <t>AM.12101</t>
  </si>
  <si>
    <t>Bèc xÕp ®an lªn « t« vËn chuyÓn ®Õn n¬i l¾p</t>
  </si>
  <si>
    <t>1c/kiÖn</t>
  </si>
  <si>
    <t>AM.11601</t>
  </si>
  <si>
    <t>Bèc xÕp cÊu kiÖn bª t«ng ®óc s½n lªn « t«</t>
  </si>
  <si>
    <t>AM.25121</t>
  </si>
  <si>
    <t>V/c tÊm ®an ®Õn n¬i l¾p (TB 1Km)</t>
  </si>
  <si>
    <t>AG.41610</t>
  </si>
  <si>
    <t>L¾p ®Æt tÊm ®an b»ng m¸y</t>
  </si>
  <si>
    <t>1 c/kiÖn</t>
  </si>
  <si>
    <t>AG.41511v</t>
  </si>
  <si>
    <t>L¾p ®Æt ®an</t>
  </si>
  <si>
    <t>BT b¶n mÆt m­¬ng M250, ®¸ 1x2</t>
  </si>
  <si>
    <t>V¸n khu«n mÆt cèng</t>
  </si>
  <si>
    <t>Cèt thÐp m­¬ng D&lt;=10mm</t>
  </si>
  <si>
    <t>Cèt thÐp m­¬ng D&lt;=18mm</t>
  </si>
  <si>
    <t>AB.66143v</t>
  </si>
  <si>
    <t>§Öm CP§D mãng m­¬ng däc</t>
  </si>
  <si>
    <t>AB.25113</t>
  </si>
  <si>
    <t>§µo ®Êt m­¬ng hép, ®c3 (90% m¸y)</t>
  </si>
  <si>
    <t>AB.11313</t>
  </si>
  <si>
    <t>§µo ®Êt m­¬ng hép, ®c3 (10% NC)</t>
  </si>
  <si>
    <t>LÊp ®Êt c«ng tr×nh b»ng ®Çm cãc</t>
  </si>
  <si>
    <t>SA.42310</t>
  </si>
  <si>
    <t>Ph¸ dì bª t«ng cò nhµ d©n ®Ó ®µo mãng</t>
  </si>
  <si>
    <t>§Öm mãng m­¬ng CP§D lo¹i B</t>
  </si>
  <si>
    <t>AB.25114</t>
  </si>
  <si>
    <t>§µo mãng m­¬ng hép, ®c4</t>
  </si>
  <si>
    <t>\2- Hè thu</t>
  </si>
  <si>
    <t>Bª t«ng mãng hè thu M200, ®¸ 2x4</t>
  </si>
  <si>
    <t>Bª t«ng th©n hè thu M200, ®¸ 2x4</t>
  </si>
  <si>
    <t>AF.17214</t>
  </si>
  <si>
    <t>Bª t«ng xµ mò hè thu M250, ®¸ 1x2</t>
  </si>
  <si>
    <t>Cèt thÐp xµ mò D&lt;=10mm</t>
  </si>
  <si>
    <t>AI.13121v</t>
  </si>
  <si>
    <t>ThÐp h×nh viÒn xµ mò</t>
  </si>
  <si>
    <t>V¸n khu«n th©n hè thu</t>
  </si>
  <si>
    <t>ThÐp h×nh viÒn ®an</t>
  </si>
  <si>
    <t>L¾p ®Æt tÊm ®an</t>
  </si>
  <si>
    <t>AB.13411</t>
  </si>
  <si>
    <t>§¾p c¸t d­íi mãng</t>
  </si>
  <si>
    <t>§Öm c¸t d­íi mãng</t>
  </si>
  <si>
    <t>DAN</t>
  </si>
  <si>
    <t>S¶n xuÊt ®an gang (304kg/ tÊm)</t>
  </si>
  <si>
    <t>\4- Cöa x¶:</t>
  </si>
  <si>
    <t>Bª t«ng miÖng x¶ M150 ®¸ 2x4</t>
  </si>
  <si>
    <t>§µo ®Êt mãng, ®c3</t>
  </si>
  <si>
    <t>TÊm B t«ng cÊu kiÖn r·nh M200, ®¸ 1x2</t>
  </si>
  <si>
    <t>V¸n khu«n tÊm BT cÊu kiÖn r·nh</t>
  </si>
  <si>
    <t>QK.11510</t>
  </si>
  <si>
    <t>L¾p ®Æt cÊu kiÖn r·nh däc (&lt;50kg) -cã chÝt v÷a</t>
  </si>
  <si>
    <t>Bª t«ng ®¸y r·nh M150, ®¸ 1x2</t>
  </si>
  <si>
    <t>§µo ®Êt m­¬ng + r·nh däc, ®c3</t>
  </si>
  <si>
    <t>§µo khu«n r·nh däc, NC</t>
  </si>
  <si>
    <t>Bª t«ng gia cè lÒ ®­êng M250, ®¸ 1x2</t>
  </si>
  <si>
    <t>Lµm l¹i mãng CP§D lo¹i 1 (Dmax&lt;=25mm)</t>
  </si>
  <si>
    <t>Bª t«ng hoµn tr¶ s©n nhµ d©n M150, ®¸ 1x2</t>
  </si>
  <si>
    <t>Bª t«ng hoµn tr¶ s©n nhµ d©n M150, ®¸ 2x4</t>
  </si>
  <si>
    <t>Bª t«ng hoµn tr¶ m­¬ng TL M200, ®¸ 1x2</t>
  </si>
  <si>
    <t>\2- §­êng èng HDPE nèi m­¬ng hép vÒ QL1:</t>
  </si>
  <si>
    <t>§µo ®Êt mãng ®­êng èng, ®c3 (90% m¸y)</t>
  </si>
  <si>
    <t>§µo ®Êt mãng ®­êng èng, ®c3 (10% NC)</t>
  </si>
  <si>
    <t>§Öm mãng + ®¾p c¸t th©n ®­êng èng</t>
  </si>
  <si>
    <t>BB.46101</t>
  </si>
  <si>
    <t>L§ èng nhùa HDPE d315mm, t=12.1mm</t>
  </si>
  <si>
    <t>BB.46102</t>
  </si>
  <si>
    <t>L§ èng nhùa HDPE d315mm, t=15mm</t>
  </si>
  <si>
    <t>BB.46121</t>
  </si>
  <si>
    <t>L§ èng nhùa HDPE d400mm, t=15.3mm</t>
  </si>
  <si>
    <t>BB.46122</t>
  </si>
  <si>
    <t>L§ èng nhùa HDPE d400mm, t=19.1mm</t>
  </si>
  <si>
    <t>BB.11221</t>
  </si>
  <si>
    <t>L¾p ®Æt èng BT D&lt;=600mm, L=2m</t>
  </si>
  <si>
    <t>1 ®o¹n</t>
  </si>
  <si>
    <t>BB.11251</t>
  </si>
  <si>
    <t>L¾p ®Æt èng BT D&lt;=600mm, L=4m</t>
  </si>
  <si>
    <t>BB.11252</t>
  </si>
  <si>
    <t>L¾p ®Æt èng BT D&lt;=1000mm, L=4m</t>
  </si>
  <si>
    <t>BB.13603</t>
  </si>
  <si>
    <t>Nèi èng BT D400mm b»ng gio¨ng cao su</t>
  </si>
  <si>
    <t>1mèi nè</t>
  </si>
  <si>
    <t>BB.13605</t>
  </si>
  <si>
    <t>Nèi èng BT D600mm b»ng gio¨ng cao su</t>
  </si>
  <si>
    <t>BB.13609</t>
  </si>
  <si>
    <t>Nèi èng BT D1000mm b»ng gio¨ng cao su</t>
  </si>
  <si>
    <t>BB.13503</t>
  </si>
  <si>
    <t>Nèi èng BT D400 b»ng PP x¶m</t>
  </si>
  <si>
    <t>BB.13505</t>
  </si>
  <si>
    <t>Nèi èng BT D4600 b»ng PP x¶m</t>
  </si>
  <si>
    <t>Nèi èng BT D1000 b»ng PP x¶m</t>
  </si>
  <si>
    <t>V¸n khu«n (VK thÐp)</t>
  </si>
  <si>
    <t>Cèt thÐp t¨ng c­êng vµ nèi ®Çu cèng ®k&lt;=18mm</t>
  </si>
  <si>
    <t>AF.61130</t>
  </si>
  <si>
    <t>Cèt thÐp t¨ng c­êng vµ nèi ®Çu cèng ®k&gt;18mm</t>
  </si>
  <si>
    <t>AK.91211</t>
  </si>
  <si>
    <t>S¬n gê ch¾n 02 líp mµu tr¾ng</t>
  </si>
  <si>
    <t>SA.31821</t>
  </si>
  <si>
    <t>Khoan cÊy thÐp (khoan BT lç &lt;=16mm, s©u &lt;=10cm)</t>
  </si>
  <si>
    <t>1 lç</t>
  </si>
  <si>
    <t>NC3.0/7</t>
  </si>
  <si>
    <t>Nh©n c«ng trùc ®¶m b¶o</t>
  </si>
  <si>
    <t>DAY</t>
  </si>
  <si>
    <t>D©y c¶nh giíi (100m/cuén)</t>
  </si>
  <si>
    <t>DEN</t>
  </si>
  <si>
    <t>§Ìn c¶nh b¸o giao th«ng</t>
  </si>
  <si>
    <t>1 c¸i</t>
  </si>
  <si>
    <t>\1. Th©n cèng:</t>
  </si>
  <si>
    <t>Bª t«ng cèng trßn M200, ®¸ 1x2</t>
  </si>
  <si>
    <t>Bª t«ng cèng vu«ng M250, ®¸ 1x2</t>
  </si>
  <si>
    <t>Cèt thÐp èng cèng §K&lt;=10mm</t>
  </si>
  <si>
    <t>AG.13321</t>
  </si>
  <si>
    <t>Cèt thÐp èng cèng §K&lt;=18mm</t>
  </si>
  <si>
    <t>BB.11244</t>
  </si>
  <si>
    <t>L¾p ®Æt èng buy D1500 - H30 (®o¹n L=3m)</t>
  </si>
  <si>
    <t>BB.11242</t>
  </si>
  <si>
    <t>L¾p ®Æt èng buy D1000 - H30 (®o¹n L=3m)</t>
  </si>
  <si>
    <t>BB.11222</t>
  </si>
  <si>
    <t>L¾p ®Æt èng buy D1000 - H30 (®o¹n L=2m)</t>
  </si>
  <si>
    <t>L¾p ®Æt èng buy D1000 - H30 (®o¹n L=4m)</t>
  </si>
  <si>
    <t>BB.13614</t>
  </si>
  <si>
    <t>Lµm mèi nèi gio¨ng cao su cèng D1500</t>
  </si>
  <si>
    <t>BB.13509</t>
  </si>
  <si>
    <t>Bª t«ng mãng th©n cèng M150, ®¸ 2x4</t>
  </si>
  <si>
    <t>CP§D ®Öm mãng</t>
  </si>
  <si>
    <t>\2. Th­îng h¹ l­u:</t>
  </si>
  <si>
    <t>Bª t«ng hè thu nèi m­¬ng hép M300, ®¸ 1x2</t>
  </si>
  <si>
    <t>AF.82521</t>
  </si>
  <si>
    <t>V¸n khu«n hè thu, hè l¾ng</t>
  </si>
  <si>
    <t>Gia c«ng cèt thÐp xµ mò ®k &lt;=10mm</t>
  </si>
  <si>
    <t>AI.13121</t>
  </si>
  <si>
    <t>Bª t«ng ®an ®Ëy M300, ®¸ 1x2</t>
  </si>
  <si>
    <t>AF.17222</t>
  </si>
  <si>
    <t>Bª t«ng hè thu M150, ®¸ 2x4</t>
  </si>
  <si>
    <t>BT mãng, t­êng ®Çu cèng M150, ®¸ 2x4</t>
  </si>
  <si>
    <t>Bª t«ng mãng ®Çu cèng+ s©n M150 ®¸ 2x4</t>
  </si>
  <si>
    <t>AL.15122v</t>
  </si>
  <si>
    <t>\3. C¸c h¹ng môc kh¸c:</t>
  </si>
  <si>
    <t>§µo ®Êt m­¬ng hép, ®c3 (30% NC)</t>
  </si>
  <si>
    <t>LÊp ®Êt mãng c«ng tr×nh</t>
  </si>
  <si>
    <t>B.t«ng th©n cèng &amp; mui luyÖn 30Mpa, ®¸ 1x2</t>
  </si>
  <si>
    <t>AK.92111a</t>
  </si>
  <si>
    <t>QuÐt keo Sikadur 732 (0.5 kg/m2)</t>
  </si>
  <si>
    <t>V¸n khu«n mãng</t>
  </si>
  <si>
    <t>AF.86211v</t>
  </si>
  <si>
    <t>V¸n khu«n t­êng th©n cèng</t>
  </si>
  <si>
    <t>AF.86111v</t>
  </si>
  <si>
    <t>V¸n khu«n b¶n mÆt cèng</t>
  </si>
  <si>
    <t>AF.61311</t>
  </si>
  <si>
    <t>Gia c«ng cèt thÐp t­êng dk&lt;=10mm</t>
  </si>
  <si>
    <t>AF.61321</t>
  </si>
  <si>
    <t>Gia c«ng cèt thÐp t­êng dk&lt;=18mm</t>
  </si>
  <si>
    <t>AF.61331</t>
  </si>
  <si>
    <t>Gia c«ng cèt thÐp t­êng dk&gt;18mm</t>
  </si>
  <si>
    <t>AF.63320</t>
  </si>
  <si>
    <t>Cèt thÐp cèng hép §K&lt;=18mm</t>
  </si>
  <si>
    <t>AF.63330</t>
  </si>
  <si>
    <t>Cèt thÐp cèng hép §K&gt;18mm</t>
  </si>
  <si>
    <t>Cèt thÐp líp b¶o vÖ ®k&lt;=10mm</t>
  </si>
  <si>
    <t>AC.11111</t>
  </si>
  <si>
    <t>§ãng cäc tre gia c­êng mãng, l=2.5m</t>
  </si>
  <si>
    <t>CP §¸ d¨m ®Öm mãng th©n cèng</t>
  </si>
  <si>
    <t>§¾p c¸t ®Çm chÆt 2 bªn th©n cèng K95</t>
  </si>
  <si>
    <t>Cèt thÐp b¶n v­ît §K&lt;=10mm</t>
  </si>
  <si>
    <t>Cèt thÐp b¶n v­ît §K&lt;=18mm</t>
  </si>
  <si>
    <t>§Öm CP§D  d­íi b¶n v­ît</t>
  </si>
  <si>
    <t>\3 Lan can gê ch¾n</t>
  </si>
  <si>
    <t>Bª t«ng gê ch¾n 30Mpa</t>
  </si>
  <si>
    <t>S¬n tr¾ng lan can cÇu 02 líp</t>
  </si>
  <si>
    <t>Cèt thÐp gê ch¾n §K&lt;=18mm</t>
  </si>
  <si>
    <t>AI.65121v</t>
  </si>
  <si>
    <t>L¾p dùng kcÊu thÐp lan can trªn cèng</t>
  </si>
  <si>
    <t>THEPLC</t>
  </si>
  <si>
    <t>Lan can cÇu b»ng thÐp m¹ kÏm</t>
  </si>
  <si>
    <t>BL U22x650</t>
  </si>
  <si>
    <t>Bu lon U-M22x650</t>
  </si>
  <si>
    <t>\4. Th­îng h¹ l­u:</t>
  </si>
  <si>
    <t>V¸n khu«n t­êng</t>
  </si>
  <si>
    <t>BT  mãng + s©n cèng M150, ®¸ 2x4</t>
  </si>
  <si>
    <t>§¸ d¨m ®Öm mãng</t>
  </si>
  <si>
    <t>XÕp rä ®¸ kÏm -PVC (2x1x0.5)m, m¾c (10x12)</t>
  </si>
  <si>
    <t>Bª t«ng ch©n khay m¸i taluy M150, ®¸ 2x4</t>
  </si>
  <si>
    <t>CP §¸ d¨m ®Öm mãng</t>
  </si>
  <si>
    <t>Bª t«ng m¸i M150 (12Mpa), ®¸ 2x4</t>
  </si>
  <si>
    <t>AK.96132.</t>
  </si>
  <si>
    <t>Lµm tÇng läc ®¸ d¨m 2x4</t>
  </si>
  <si>
    <t>PVC D50</t>
  </si>
  <si>
    <t>èng PVC D49mm, dµy 2.8mm</t>
  </si>
  <si>
    <t>AB.25233</t>
  </si>
  <si>
    <t>§µo ®Êt mãng cèng hép, ®c3 (30%NC)</t>
  </si>
  <si>
    <t>§µo ®Êt nÒn ®­êng tr¸nh</t>
  </si>
  <si>
    <t>§¾p ®Êt nÒn ®­êng tr¸nh K95</t>
  </si>
  <si>
    <t>§Êt ®¾p nÒn ®­êng</t>
  </si>
  <si>
    <t>MÆt ®­êng tr¸nh b»ng CP§D</t>
  </si>
  <si>
    <t>AB.25133</t>
  </si>
  <si>
    <t>§µo ®Êt mãng cèng t¹m, ®c3 (30%NC)</t>
  </si>
  <si>
    <t>§Öm c¸t d­íi mãng cèng t¹m</t>
  </si>
  <si>
    <t>AB.63111</t>
  </si>
  <si>
    <t>§¾p ®ª quay ng¨n n­íc (tËn dông ®Êt ®µo)</t>
  </si>
  <si>
    <t>HUTNUOC</t>
  </si>
  <si>
    <t>Hót n­íc dÉn dßng (m¸y b¬m)</t>
  </si>
  <si>
    <t>1 ca</t>
  </si>
  <si>
    <t>Th¸o dì ®­êng tr¸nh, ®ª quay</t>
  </si>
  <si>
    <t>BB.11244v</t>
  </si>
  <si>
    <t>Th¸o dì èng buy D1500 - H30 (®o¹n L=3m)</t>
  </si>
  <si>
    <t>VËn chuyÓn ®Êt ®æ ®i 3Km</t>
  </si>
  <si>
    <t>\ Dì dän cèng cò</t>
  </si>
  <si>
    <t>AA.22111</t>
  </si>
  <si>
    <t>Ph¸ dì kÕt cÊu bª t«ng cèt thÐp cèng cò</t>
  </si>
  <si>
    <t>AA.22121</t>
  </si>
  <si>
    <t>Ph¸ dì kÕt cÊu ®¸ x©y cèng cò</t>
  </si>
  <si>
    <t>AB.42134v</t>
  </si>
  <si>
    <t>VËn chuyÓn phÕ th¶i ®i TB 3Km</t>
  </si>
  <si>
    <t>Hót n­íc hè mãng</t>
  </si>
  <si>
    <t>*\II- VØa hÌ + hè trång c©y - TuyÕn sè 1</t>
  </si>
  <si>
    <t>AB.31143v</t>
  </si>
  <si>
    <t>§µo nÒn ®­êng ph¹m vi vØa hÌ, ®c3</t>
  </si>
  <si>
    <t>Ph¸ ®¸ nÒn ®­êng=m¸y ®µo g¾n hµm kÑp</t>
  </si>
  <si>
    <t>AB.21141</t>
  </si>
  <si>
    <t>VÐt ®Êt h÷u c¬ nÒn ®­êng</t>
  </si>
  <si>
    <t>VËn chuyÓn ®Êt ®æ ®i TB 3Km</t>
  </si>
  <si>
    <t>§¾p ®¾t nÒn ®­êng ph¹m vi hØa hÌ K95</t>
  </si>
  <si>
    <t>AF.14325</t>
  </si>
  <si>
    <t>Bª t«ng bã vØa M300, ®¸ 1x2</t>
  </si>
  <si>
    <t>V¸n khu«n vØa</t>
  </si>
  <si>
    <t>§Öm mãng b»ng CP§D lo¹i B</t>
  </si>
  <si>
    <t>Bª t«ng gê chÆn biªn M250, ®¸ 1x2</t>
  </si>
  <si>
    <t>§µo mãng gê chÆn, ®c3</t>
  </si>
  <si>
    <t>LÊp ®Êt mãng gê chÆn</t>
  </si>
  <si>
    <t>Bª t«ng hè trång c©y M250, ®¸ 1x2</t>
  </si>
  <si>
    <t>§µo ®Êt hè trång c©y</t>
  </si>
  <si>
    <t>AB.13211v</t>
  </si>
  <si>
    <t>§¾p ®Êt vµo hè trång c©y (®Êt trång trät)</t>
  </si>
  <si>
    <t>Trång c©y xanh (c©y Bµng - NhËt) cao 1.5m, §K10cm</t>
  </si>
  <si>
    <t>1 c©y</t>
  </si>
  <si>
    <t>Duy tr× c©y bãng m¸t míi trång (1 n¨m)</t>
  </si>
  <si>
    <t>AK.55110</t>
  </si>
  <si>
    <t>Bª t«ng nÒn M150, ®¸ 1x2, dµy 8cm</t>
  </si>
  <si>
    <t>*\* Tæng céng:</t>
  </si>
  <si>
    <t xml:space="preserve">   - CP§D lo¹i 1 Dmax=37.5mm</t>
  </si>
  <si>
    <t xml:space="preserve">   - Nhò t­¬ng gèc axÝt 60%</t>
  </si>
  <si>
    <t>S¶n xuÊt bª t«ng nhùa BTN C19 (Tr¹m Gß BÌ)</t>
  </si>
  <si>
    <t xml:space="preserve">   - §¸ d¨m 1x2 - GB</t>
  </si>
  <si>
    <t xml:space="preserve">   - §¸ 0.5x1 - GB</t>
  </si>
  <si>
    <t xml:space="preserve">   - §¸ mi - GB</t>
  </si>
  <si>
    <t xml:space="preserve">   - C¸t vµng - GB</t>
  </si>
  <si>
    <t xml:space="preserve">   - Bét kho¸ng</t>
  </si>
  <si>
    <t xml:space="preserve">   - Nhùa ®­êng - GB</t>
  </si>
  <si>
    <t xml:space="preserve">   - DÇu diezel</t>
  </si>
  <si>
    <t>LÝt</t>
  </si>
  <si>
    <t xml:space="preserve">   - DÇu ma zót</t>
  </si>
  <si>
    <t xml:space="preserve">   - DÇu b¶o «n</t>
  </si>
  <si>
    <t>S¶n xuÊt bª t«ng nhùa BTN C19 (Tr¹m §. Kh¸nh)</t>
  </si>
  <si>
    <t xml:space="preserve">   - §¸ d¨m 1x2 - §K</t>
  </si>
  <si>
    <t xml:space="preserve">   - §¸ 0.5x1 - §K</t>
  </si>
  <si>
    <t xml:space="preserve">   - §¸ mi - §K</t>
  </si>
  <si>
    <t xml:space="preserve">   - C¸t vµng - §K</t>
  </si>
  <si>
    <t xml:space="preserve">   - Nhùa ®­êng - §K</t>
  </si>
  <si>
    <t>S¶n xuÊt bª t«ng nhùa BTN C19 (Tr¹m P. Phong)</t>
  </si>
  <si>
    <t xml:space="preserve">   - §¸ d¨m 1x2 - PP</t>
  </si>
  <si>
    <t xml:space="preserve">   - §¸ 0.5x1 - PP</t>
  </si>
  <si>
    <t xml:space="preserve">   - §¸ mi - PP</t>
  </si>
  <si>
    <t xml:space="preserve">   - C¸t vµng - PP</t>
  </si>
  <si>
    <t xml:space="preserve">   - Nhùa ®­êng - PP</t>
  </si>
  <si>
    <t>S¶n xuÊt bª t«ng nhùa BTN C12.5 (Tr¹m Gß BÌ)</t>
  </si>
  <si>
    <t>S¶n xuÊt bª t«ng nhùa BTN C12.5 (Tr¹m P. Phong)</t>
  </si>
  <si>
    <t xml:space="preserve">   - L­íi ®Þa KT (fiberglass - 100/100KN/m)</t>
  </si>
  <si>
    <t>BiÓn</t>
  </si>
  <si>
    <t xml:space="preserve">   - Trô thÐp D90, dµy 2mm</t>
  </si>
  <si>
    <t xml:space="preserve">   - S¬n bª t«ng tr¾ng - ®á</t>
  </si>
  <si>
    <t xml:space="preserve">   - V¸n khu«n dµy 3cm</t>
  </si>
  <si>
    <t xml:space="preserve">   - §inh 6cm</t>
  </si>
  <si>
    <t xml:space="preserve">   - Xi m¨ng PC40</t>
  </si>
  <si>
    <t xml:space="preserve"> A- VËt liÖu :</t>
  </si>
  <si>
    <t xml:space="preserve">   - TÊm sãng (2330x310x3)mm, ss400</t>
  </si>
  <si>
    <t xml:space="preserve">   - §Çu cong W(700x310x3)mm,ss400</t>
  </si>
  <si>
    <t xml:space="preserve">   - Cét trßn D141.3x4.5x2250mm, ss400</t>
  </si>
  <si>
    <t xml:space="preserve">   - N¾p D141,3x2mm, ss400</t>
  </si>
  <si>
    <t xml:space="preserve">   - Cét trßn D141.3x4.5x1975mm, ss400</t>
  </si>
  <si>
    <t xml:space="preserve">   - Cét trßn D141.3x4.5x1650mm, ss400</t>
  </si>
  <si>
    <t xml:space="preserve">   - §Öm (quai nhª)x5mm, ss400</t>
  </si>
  <si>
    <t xml:space="preserve">   - M¾t TG ph¶n quang (3M-3900), ss400</t>
  </si>
  <si>
    <t xml:space="preserve">   - Bu lon M20, L=180mm</t>
  </si>
  <si>
    <t xml:space="preserve">   - Bu lon M16, L=36mm</t>
  </si>
  <si>
    <t xml:space="preserve">   - S¬n lãt kÎ ®­êng</t>
  </si>
  <si>
    <t xml:space="preserve">   - Gas</t>
  </si>
  <si>
    <t xml:space="preserve">   - ThÐp trßn</t>
  </si>
  <si>
    <t xml:space="preserve">   - èng PVC D34, dµy 2mm</t>
  </si>
  <si>
    <t xml:space="preserve">   - CP§D lo¹i B</t>
  </si>
  <si>
    <t xml:space="preserve">   - §¸ c¾t</t>
  </si>
  <si>
    <t>viªn</t>
  </si>
  <si>
    <t xml:space="preserve">   - §¸ mµi</t>
  </si>
  <si>
    <t xml:space="preserve">   - §an gang</t>
  </si>
  <si>
    <t xml:space="preserve">   - èng nhùa HDPE d315, t=12.1mm</t>
  </si>
  <si>
    <t xml:space="preserve">   - èng nhùa HDPE d315, t=15.0mm</t>
  </si>
  <si>
    <t xml:space="preserve">   - èng nhùa HDPE d400, t=15.3mm</t>
  </si>
  <si>
    <t xml:space="preserve">   - èng nhùa HDPE d400, t=19.1mm</t>
  </si>
  <si>
    <t xml:space="preserve">   - Gi¨ng cao su 400mm</t>
  </si>
  <si>
    <t xml:space="preserve">   - Mì b«i tr¬n</t>
  </si>
  <si>
    <t xml:space="preserve">   - Gi¨ng cao su 600mm</t>
  </si>
  <si>
    <t xml:space="preserve">   - Gi¨ng cao su 1000mm</t>
  </si>
  <si>
    <t xml:space="preserve">   - ThÐp trßn d&gt;18mm</t>
  </si>
  <si>
    <t xml:space="preserve">   - S¬n kÎ ®­êng</t>
  </si>
  <si>
    <t xml:space="preserve">   - Mòi khoan fi16</t>
  </si>
  <si>
    <t xml:space="preserve">   - B¨ng rµo §BGT</t>
  </si>
  <si>
    <t xml:space="preserve">   - §Ìn c¶nh b¸o GT (dïng pin)</t>
  </si>
  <si>
    <t xml:space="preserve">   - Buy LT D1500-H30</t>
  </si>
  <si>
    <t xml:space="preserve">   - Buy LT D1000-H30</t>
  </si>
  <si>
    <t xml:space="preserve">   - Gi¨ng cao su 1500mm</t>
  </si>
  <si>
    <t xml:space="preserve">   - ThÐp trßn d&gt;14</t>
  </si>
  <si>
    <t xml:space="preserve">   - ¤ xy</t>
  </si>
  <si>
    <t xml:space="preserve">   - KhÝ gas</t>
  </si>
  <si>
    <t>rä</t>
  </si>
  <si>
    <t xml:space="preserve">   - Keo Sikadur 732</t>
  </si>
  <si>
    <t xml:space="preserve">   - Cét chèng thÐp èng</t>
  </si>
  <si>
    <t xml:space="preserve">   - Cäc tre &lt;=25m</t>
  </si>
  <si>
    <t xml:space="preserve">   - C©y chèng</t>
  </si>
  <si>
    <t xml:space="preserve">   - Gç v¸n</t>
  </si>
  <si>
    <t xml:space="preserve">   - Lan can cÇu thÐp m¹ kÏm</t>
  </si>
  <si>
    <t xml:space="preserve">   - Bu lon U-M22x650</t>
  </si>
  <si>
    <t xml:space="preserve">   - èng PVC D49, dµy 2.2mm (§H)</t>
  </si>
  <si>
    <t xml:space="preserve">   - §Êt trång trät</t>
  </si>
  <si>
    <t xml:space="preserve">   - C©y ... cao 1.5m, ®k10cm</t>
  </si>
  <si>
    <t>c©y</t>
  </si>
  <si>
    <t xml:space="preserve">   - NÑp gç</t>
  </si>
  <si>
    <t xml:space="preserve">   - Cäc tre chèng</t>
  </si>
  <si>
    <t xml:space="preserve">   - Bao bè</t>
  </si>
  <si>
    <t xml:space="preserve">   - §inh</t>
  </si>
  <si>
    <t xml:space="preserve">   - Ph©n h÷u c¬</t>
  </si>
  <si>
    <t xml:space="preserve">   - G¹ch Terrazzo (40x40x3)cm</t>
  </si>
  <si>
    <t>B¶NG SO S¸NH GI¸ VËT T¦ §ÕN CH¢N C¤NG TR×NH</t>
  </si>
  <si>
    <t>§¸ d¨m c¸c lo¹i, ®¸ héc</t>
  </si>
  <si>
    <t>Chän má ®¸</t>
  </si>
  <si>
    <t>Gi¸ chän</t>
  </si>
  <si>
    <t>Gi¸ c­íc
v.chuyÓn</t>
  </si>
  <si>
    <t>Gi¸ t¹i má</t>
  </si>
  <si>
    <t>Gi¸ ®Õn CT</t>
  </si>
  <si>
    <t>C­íc VC</t>
  </si>
  <si>
    <t xml:space="preserve">   - §¸ d¨m 0.5x1</t>
  </si>
  <si>
    <t xml:space="preserve">   - §¸ h«c</t>
  </si>
  <si>
    <t>KÕt luËn:</t>
  </si>
  <si>
    <t>Bª t«ng nhùa c¸c lo¹i:</t>
  </si>
  <si>
    <t>Tr¹m Gß BÌ</t>
  </si>
  <si>
    <t>Tr¹m §ång Kh¸nh</t>
  </si>
  <si>
    <t>Chän tr¹m trén BTN</t>
  </si>
  <si>
    <t>Gi¸ t¹i tr¹m</t>
  </si>
  <si>
    <t xml:space="preserve">   - Bª t«ng nhùa nãng C19</t>
  </si>
  <si>
    <t xml:space="preserve">   - Bª t«ng nhùa nãng C12.5</t>
  </si>
  <si>
    <t>L¸t vØa hÌ g¹ch Terrazzo (40x40x3)cm
(cã líp ®Öm v÷a M75, dµy 2.5cm)</t>
  </si>
  <si>
    <t>§o vÏ b×nh ®å ë trªn c¹n, tû lÖ 1/500, ®­êng ®ång møc 1m, ®Þa h×nh cÊp III</t>
  </si>
  <si>
    <t>AL.24320</t>
  </si>
  <si>
    <t xml:space="preserve">   - L­ìi c¾t</t>
  </si>
  <si>
    <t>hÖ thèng atgt</t>
  </si>
  <si>
    <t>Qu¶ng Ng·i, ngµy    th¸ng    n¨m 2021</t>
  </si>
  <si>
    <t>Sè hiÖu §M</t>
  </si>
  <si>
    <t>C¾t khe mÆt ®­êng BTXM</t>
  </si>
  <si>
    <t>tæng hîp kinh phÝ x©y l¾p</t>
  </si>
  <si>
    <t>SE.11213</t>
  </si>
  <si>
    <t>linh</t>
  </si>
  <si>
    <t>kh«ng tr¨m</t>
  </si>
  <si>
    <t>mét</t>
  </si>
  <si>
    <t>mèt</t>
  </si>
  <si>
    <t>m­êi</t>
  </si>
  <si>
    <t>mét tr¨m</t>
  </si>
  <si>
    <t>hai</t>
  </si>
  <si>
    <t>ba</t>
  </si>
  <si>
    <t>bèn</t>
  </si>
  <si>
    <t>n¨m</t>
  </si>
  <si>
    <t>l¨m</t>
  </si>
  <si>
    <t>s¸u</t>
  </si>
  <si>
    <t>b¶y</t>
  </si>
  <si>
    <t>t¸m</t>
  </si>
  <si>
    <t>chÝn</t>
  </si>
  <si>
    <t>AD.24213</t>
  </si>
  <si>
    <t>T­íi nhùa pha dÇu thÊm b¸m TC 1.0kg/m2</t>
  </si>
  <si>
    <t xml:space="preserve">   - Nhùa bitum sè 4</t>
  </si>
  <si>
    <t>AD.21112.</t>
  </si>
  <si>
    <t>(Tr­íc thuÕ)</t>
  </si>
  <si>
    <t>Q</t>
  </si>
  <si>
    <t>B¶ng 1  (theo TT sè 16/Q§-BXD, ngµy 15/12/2019)</t>
  </si>
  <si>
    <t>Gi¸ trÞ tr­íc thuÕ</t>
  </si>
  <si>
    <t>Chi phÝ x©y l¾p vµ thiÕt bÞ tr­íc thuÕ (tØ ®ång)</t>
  </si>
  <si>
    <t>QLDD</t>
  </si>
  <si>
    <t>* Chi phÝ qu¶n lý dù ¸n (CT D©n dông)</t>
  </si>
  <si>
    <t>QLCN</t>
  </si>
  <si>
    <t>* Chi phÝ qu¶n lý dù ¸n (CT C«ng nghiÖp)</t>
  </si>
  <si>
    <t>QLGT</t>
  </si>
  <si>
    <t>QLNN</t>
  </si>
  <si>
    <t>* Chi phÝ qu¶n lý dù ¸n (CT NN &amp; PTNT)</t>
  </si>
  <si>
    <t>QLHT</t>
  </si>
  <si>
    <t>* Chi phÝ qu¶n lý dù ¸n (CT H¹ tÇng)</t>
  </si>
  <si>
    <t>TVDD01</t>
  </si>
  <si>
    <t xml:space="preserve">  - Chi phÝ lËp BC nghiªn cøu tiÒn kh¶ thi (CT D©n dông)</t>
  </si>
  <si>
    <t>TVCN01</t>
  </si>
  <si>
    <t xml:space="preserve">  - Chi phÝ lËp BC nghiªn cøu tiÒn kh¶ thi (CT C«ng nghiÖp)</t>
  </si>
  <si>
    <t>TVGT01</t>
  </si>
  <si>
    <t xml:space="preserve">  - Chi phÝ lËp BC nghiªn cøu tiÒn kh¶ thi (CT Giao th«ng)</t>
  </si>
  <si>
    <t>TVNN01</t>
  </si>
  <si>
    <t xml:space="preserve">  - Chi phÝ lËp BC nghiªn cøu tiÒn kh¶ thi (CT NN &amp; PTNT)</t>
  </si>
  <si>
    <t>TVHT01</t>
  </si>
  <si>
    <t xml:space="preserve">  - Chi phÝ lËp BC nghiªn cøu tiÒn kh¶ thi (CT H¹ tÇng)</t>
  </si>
  <si>
    <t>TVDD02</t>
  </si>
  <si>
    <t xml:space="preserve">  - Chi phÝ lËp BC nghiªn cøu kh¶ thi (CT D©n dông)</t>
  </si>
  <si>
    <t>TVCN02</t>
  </si>
  <si>
    <t xml:space="preserve">  - Chi phÝ lËp BC nghiªn cøu kh¶ thi (CT C«ng nghiÖp)</t>
  </si>
  <si>
    <t>TVGT02</t>
  </si>
  <si>
    <t>TVNN02</t>
  </si>
  <si>
    <t xml:space="preserve">  - Chi phÝ lËp BC nghiªn cøu kh¶ thi (CT NN &amp; PTNT)</t>
  </si>
  <si>
    <t>TVHT02</t>
  </si>
  <si>
    <t xml:space="preserve">  - Chi phÝ lËp BC nghiªn cøu kh¶ thi (CT H¹ tÇng)</t>
  </si>
  <si>
    <t>TVDD03</t>
  </si>
  <si>
    <t xml:space="preserve">  - Chi phÝ lËp B¸o c¸o KTKT (CT D©n dông)</t>
  </si>
  <si>
    <t>TVCN03</t>
  </si>
  <si>
    <t xml:space="preserve">  - Chi phÝ lËp B¸o c¸o KTKT (CT C«ng nhiÖp)</t>
  </si>
  <si>
    <t>TVGT03</t>
  </si>
  <si>
    <t>TVNN03</t>
  </si>
  <si>
    <t xml:space="preserve">  - Chi phÝ lËp B¸o c¸o KTKT (CT NN &amp; PTNT)</t>
  </si>
  <si>
    <t>TVHT03</t>
  </si>
  <si>
    <t xml:space="preserve">  - Chi phÝ lËp B¸o c¸o KTKT (CT H¹ tÇng)</t>
  </si>
  <si>
    <t>TVDD04</t>
  </si>
  <si>
    <t xml:space="preserve">  - Chi phÝ thiÕt kÕ BVTC (2 b­íc - CTDD cÊp IV)</t>
  </si>
  <si>
    <t>TVCN04</t>
  </si>
  <si>
    <t xml:space="preserve">  - Chi phÝ thiÕt kÕ BVTC (2 b­íc - CTCN cÊp IV)</t>
  </si>
  <si>
    <t>TVGT04</t>
  </si>
  <si>
    <t>TVNN04</t>
  </si>
  <si>
    <t xml:space="preserve">  - Chi phÝ thiÕt kÕ BVTC (2 b­íc - CTNN &amp; PTNT cÊp IV)</t>
  </si>
  <si>
    <t>TVHT04</t>
  </si>
  <si>
    <t xml:space="preserve">  - Chi phÝ thiÕt kÕ BVTC (2 b­íc - CTHT cÊp IV)</t>
  </si>
  <si>
    <t>TVDD05</t>
  </si>
  <si>
    <t xml:space="preserve">  - Chi phÝ thiÕt kÕ BVTC (2 b­íc - CTDD cÊp III)</t>
  </si>
  <si>
    <t>TVCN05</t>
  </si>
  <si>
    <t xml:space="preserve">  - Chi phÝ thiÕt kÕ BVTC (2 b­íc - CTCN cÊp III)</t>
  </si>
  <si>
    <t>TVGT05</t>
  </si>
  <si>
    <t xml:space="preserve">  - Chi phÝ thiÕt kÕ BVTC (2 b­íc - CTGT cÊp III)</t>
  </si>
  <si>
    <t>TVNN05</t>
  </si>
  <si>
    <t xml:space="preserve">  - Chi phÝ thiÕt kÕ BVTC (2 b­íc - CTNN &amp; PTNT cÊp III)</t>
  </si>
  <si>
    <t>TVHT05</t>
  </si>
  <si>
    <t xml:space="preserve">  - Chi phÝ thiÕt kÕ BVTC (2 b­íc - CTHT cÊp III)</t>
  </si>
  <si>
    <t>TVDD06</t>
  </si>
  <si>
    <t xml:space="preserve">  - Chi phÝ thÈm tra BC tiÒn NCKT (CT D©n dông)</t>
  </si>
  <si>
    <t>TVCN06</t>
  </si>
  <si>
    <t xml:space="preserve">  - Chi phÝ thÈm tra BC tiÒn NCKT (CT C«ng nghiÖp)</t>
  </si>
  <si>
    <t>TVGT06</t>
  </si>
  <si>
    <t xml:space="preserve">  - Chi phÝ thÈm tra BC tiÒn NCKT (CT Giao th«ng)</t>
  </si>
  <si>
    <t>TVNN06</t>
  </si>
  <si>
    <t xml:space="preserve">  - Chi phÝ thÈm tra BC tiÒn NCKT (CT NN &amp; PTNT)</t>
  </si>
  <si>
    <t>TVHT06</t>
  </si>
  <si>
    <t xml:space="preserve">  - Chi phÝ thÈm tra BC tiÒn NCKT (CT H¹ tÇng)</t>
  </si>
  <si>
    <t>TVDD07</t>
  </si>
  <si>
    <t xml:space="preserve">  - Chi phÝ thÈm tra BC NCKT (CT D©n dông)</t>
  </si>
  <si>
    <t>TVCN07</t>
  </si>
  <si>
    <t xml:space="preserve">  - Chi phÝ thÈm tra BC NCKT (CT C«ng nghiÖp)</t>
  </si>
  <si>
    <t>TVGT07</t>
  </si>
  <si>
    <t xml:space="preserve">  - Chi phÝ thÈm tra BC NCKT (CT Giao th«ng)</t>
  </si>
  <si>
    <t>TVNN07</t>
  </si>
  <si>
    <t xml:space="preserve">  - Chi phÝ thÈm tra BC NCKT (CT NN &amp; PTNT)</t>
  </si>
  <si>
    <t>TVHT07</t>
  </si>
  <si>
    <t xml:space="preserve">  - Chi phÝ thÈm tra BC NCKT (CT H¹ tÇng)</t>
  </si>
  <si>
    <t>TVDD08</t>
  </si>
  <si>
    <t xml:space="preserve">  - Chi phÝ thÈm tra TK BVTC (CT D©n dông)</t>
  </si>
  <si>
    <t>TVCN08</t>
  </si>
  <si>
    <t xml:space="preserve">  - Chi phÝ thÈm tra TK BVTC (CT C«ng nghiÖp)</t>
  </si>
  <si>
    <t>TVGT08</t>
  </si>
  <si>
    <t xml:space="preserve">  - Chi phÝ thÈm tra TK BVTC (CT Giao th«ng)</t>
  </si>
  <si>
    <t>TVNN08</t>
  </si>
  <si>
    <t xml:space="preserve">  - Chi phÝ thÈm tra TK BVTC (CT NN &amp; PTNT)</t>
  </si>
  <si>
    <t>TVHT08</t>
  </si>
  <si>
    <t xml:space="preserve">  - Chi phÝ thÈm tra TK BVTC (CT H¹ tÇng)</t>
  </si>
  <si>
    <t>TVDD09</t>
  </si>
  <si>
    <t xml:space="preserve">  - Chi phÝ thÈm tra Dù to¸n (CT D©n dông)</t>
  </si>
  <si>
    <t>TVCN09</t>
  </si>
  <si>
    <t xml:space="preserve">  - Chi phÝ thÈm tra Dù to¸n (CT C«ng nghiÖp)</t>
  </si>
  <si>
    <t>TVGT09</t>
  </si>
  <si>
    <t xml:space="preserve">  - Chi phÝ thÈm tra Dù to¸n (CT Giao th«ng)</t>
  </si>
  <si>
    <t>TVNN09</t>
  </si>
  <si>
    <t xml:space="preserve">  - Chi phÝ thÈm tra Dù to¸n (CT NN &amp; PTNT)</t>
  </si>
  <si>
    <t>TVHT09</t>
  </si>
  <si>
    <t xml:space="preserve">  - Chi phÝ thÈm tra Dù to¸n (CT H¹ tÇng)</t>
  </si>
  <si>
    <t>TVDD10</t>
  </si>
  <si>
    <t xml:space="preserve">  - Chi phÝ gi¸m s¸t x©y dùng (CT D©n dông)</t>
  </si>
  <si>
    <t>TVCN10</t>
  </si>
  <si>
    <t xml:space="preserve">  - Chi phÝ gi¸m s¸t x©y dùng (CT c«ng nghiÖp)</t>
  </si>
  <si>
    <t>TVGT10</t>
  </si>
  <si>
    <t>TVNN10</t>
  </si>
  <si>
    <t xml:space="preserve">  - Chi phÝ gi¸m s¸t x©y dùng (CT NN &amp; PTNT)</t>
  </si>
  <si>
    <t>TVHT10</t>
  </si>
  <si>
    <t xml:space="preserve">  - Chi phÝ gi¸m s¸t x©y dùng (CT H¹ tÇng)</t>
  </si>
  <si>
    <t>TVDD11</t>
  </si>
  <si>
    <t xml:space="preserve">  - Chi phÝ gi¸m s¸t L§ thiÕt bÞ (CT D©n dông)</t>
  </si>
  <si>
    <t>TVCN11</t>
  </si>
  <si>
    <t xml:space="preserve">  - Chi phÝ gi¸m s¸t L§ thiÕt bÞ (CT C«ng nghiÖp)</t>
  </si>
  <si>
    <t>TVGT11</t>
  </si>
  <si>
    <t xml:space="preserve">  - Chi phÝ gi¸m s¸t L§ thiÕt bÞ (CT Giao th«ng)</t>
  </si>
  <si>
    <t>TVNN11</t>
  </si>
  <si>
    <t xml:space="preserve">  - Chi phÝ gi¸m s¸t L§ thiÕt bÞ (CT NN &amp; PTNT)</t>
  </si>
  <si>
    <t>TVHT11</t>
  </si>
  <si>
    <t xml:space="preserve">  - Chi phÝ gi¸m s¸t L§ thiÕt bÞ (CT H¹ tÇng)</t>
  </si>
  <si>
    <t>TVDD12</t>
  </si>
  <si>
    <t xml:space="preserve">  - LËp Hå s¬ mêi thÇu x©y l¾p (CT D©n dông)</t>
  </si>
  <si>
    <t>TVCN12</t>
  </si>
  <si>
    <t xml:space="preserve">  - LËp Hå s¬ mêi thÇu x©y l¾p (CT C«ng nghiÖp)</t>
  </si>
  <si>
    <t>TVGT12</t>
  </si>
  <si>
    <t>TVNN12</t>
  </si>
  <si>
    <t xml:space="preserve">  - LËp Hå s¬ mêi thÇu x©y l¾p (NN &amp; PTNT)</t>
  </si>
  <si>
    <t>TVHT12</t>
  </si>
  <si>
    <t xml:space="preserve">  - LËp Hå s¬ mêi thÇu x©y l¾p (CT H¹ tÇng)</t>
  </si>
  <si>
    <t>TVDD13</t>
  </si>
  <si>
    <t xml:space="preserve">  - LËp HSMT vµ ®¸nh gi¸ HSDT thiÕt bÞ (CT D©n dông)</t>
  </si>
  <si>
    <t>TVCN13</t>
  </si>
  <si>
    <t xml:space="preserve">  - LËp HSMT vµ ®¸nh gi¸ HSDT thiÕt bÞ (CT C«ng nghiÖp)</t>
  </si>
  <si>
    <t>TVGT13</t>
  </si>
  <si>
    <t xml:space="preserve">  - LËp HSMT vµ ®¸nh gi¸ HSDT thiÕt bÞ (CT Giao th«ng)</t>
  </si>
  <si>
    <t>TVNN13</t>
  </si>
  <si>
    <t xml:space="preserve">  - LËp HSMT vµ ®¸nh gi¸ HSDT thiÕt bÞ (CT NN &amp; PTNT)</t>
  </si>
  <si>
    <t>TVHT13</t>
  </si>
  <si>
    <t xml:space="preserve">  - LËp HSMT vµ ®¸nh gi¸ HSDT thiÕt bÞ (CT H¹ tÇng)</t>
  </si>
  <si>
    <t>TVKSXD</t>
  </si>
  <si>
    <t>K§CT</t>
  </si>
  <si>
    <t>B¶ng 2  (theo TT sè 16/Q§-BXD, ngµy 15/12/2019)</t>
  </si>
  <si>
    <t>Chi phÝ T­ vÊn tr­íc thuÕ (tØ ®ång)</t>
  </si>
  <si>
    <t>TVTK14</t>
  </si>
  <si>
    <t xml:space="preserve">  - LËp HSMT vµ ®¸nh gi¸ HSDT t­ vÊn (K.s¸t TK)</t>
  </si>
  <si>
    <t>TVGS14</t>
  </si>
  <si>
    <t xml:space="preserve">  - LËp HSMT vµ ®¸nh gi¸ HSDT t­ vÊn (Gi¸m s¸t)</t>
  </si>
  <si>
    <t>TVGS15</t>
  </si>
  <si>
    <t xml:space="preserve">  - Chi phÝ gi¸m s¸t c«ng t¸c kh¶o s¸t</t>
  </si>
  <si>
    <t>(theo TT sè 209 vµ 210/TT-BTC, ngµy 10/11/2016)</t>
  </si>
  <si>
    <t>Tæng møc ®Çu t­ (tØ ®«ng)</t>
  </si>
  <si>
    <t>CK-01</t>
  </si>
  <si>
    <t xml:space="preserve">  - LÖ phÝ thÈm ®Þnh BC KTKT, DA§T</t>
  </si>
  <si>
    <t>CK-02</t>
  </si>
  <si>
    <t xml:space="preserve">  - LÖ phÝ thÈm ®Þnh thiÕt kÕ c¬ së</t>
  </si>
  <si>
    <t>CK-03</t>
  </si>
  <si>
    <t>CK-04</t>
  </si>
  <si>
    <t>CKDD05</t>
  </si>
  <si>
    <t xml:space="preserve">  - LÖ phÝ thÈm ®Þnh TK BVTC (CTDD)</t>
  </si>
  <si>
    <t>CKCN05</t>
  </si>
  <si>
    <t xml:space="preserve">  - LÖ phÝ thÈm ®Þnh TK BVTC (CTCN)</t>
  </si>
  <si>
    <t>CKGT05</t>
  </si>
  <si>
    <t>CKNN05</t>
  </si>
  <si>
    <t xml:space="preserve">  - LÖ phÝ thÈm ®Þnh TK BVTC (CTNN)</t>
  </si>
  <si>
    <t>CKHT05</t>
  </si>
  <si>
    <t xml:space="preserve">  - LÖ phÝ thÈm ®Þnh TK BVTC (CTHT)</t>
  </si>
  <si>
    <t>CKDD06</t>
  </si>
  <si>
    <t xml:space="preserve">  - LÖ phÝ thÈm ®Þnh Dù to¸n (CTDD)</t>
  </si>
  <si>
    <t>CKCN06</t>
  </si>
  <si>
    <t xml:space="preserve">  - LÖ phÝ thÈm ®Þnh Dù to¸n (CTCN)</t>
  </si>
  <si>
    <t>CKGT06</t>
  </si>
  <si>
    <t>CKNN06</t>
  </si>
  <si>
    <t xml:space="preserve">  - LÖ phÝ thÈm ®Þnh Dù to¸n (CTNN)</t>
  </si>
  <si>
    <t>CKHT06</t>
  </si>
  <si>
    <t xml:space="preserve">  - LÖ phÝ thÈm ®Þnh Dù to¸n (CTHT)</t>
  </si>
  <si>
    <t>CKDD07</t>
  </si>
  <si>
    <t xml:space="preserve">  - PhÝ thÈm ®Þnh TK BVTC (CTDD)</t>
  </si>
  <si>
    <t>CKCN07</t>
  </si>
  <si>
    <t xml:space="preserve">  - PhÝ thÈm ®Þnh TK BVTC (CTCN)</t>
  </si>
  <si>
    <t>CKGT07</t>
  </si>
  <si>
    <t>CKNN07</t>
  </si>
  <si>
    <t xml:space="preserve">  - PhÝ thÈm ®Þnh TK BVTC (CTNN)</t>
  </si>
  <si>
    <t>CKHT07</t>
  </si>
  <si>
    <t xml:space="preserve">  - PhÝ thÈm ®Þnh TK BVTC (CTHT)</t>
  </si>
  <si>
    <t>CKDD08</t>
  </si>
  <si>
    <t xml:space="preserve">  - PhÝ thÈm ®Þnh Dù to¸n (CTDD)</t>
  </si>
  <si>
    <t>CKCN08</t>
  </si>
  <si>
    <t xml:space="preserve">  - PhÝ thÈm ®Þnh Dù to¸n (CTCN)</t>
  </si>
  <si>
    <t>CKGT08</t>
  </si>
  <si>
    <t>CKNN08</t>
  </si>
  <si>
    <t xml:space="preserve">  - PhÝ thÈm ®Þnh Dù to¸n (CTNN)</t>
  </si>
  <si>
    <t>CKHT08</t>
  </si>
  <si>
    <t xml:space="preserve">  - PhÝ thÈm ®Þnh Dù to¸n (CTHT)</t>
  </si>
  <si>
    <t>CKDD09</t>
  </si>
  <si>
    <t xml:space="preserve">  - B¶o hiÓm c«ng tr×nh D©n dông</t>
  </si>
  <si>
    <t>CKCN09</t>
  </si>
  <si>
    <t xml:space="preserve">  - B¶o hiÓm c«ng tr×nh c«ng nghiÖp</t>
  </si>
  <si>
    <t>CKGT09</t>
  </si>
  <si>
    <t>CKNN09</t>
  </si>
  <si>
    <t xml:space="preserve">  - B¶o hiÓm c«ng tr×nh NN PTNT</t>
  </si>
  <si>
    <t>CKHT09</t>
  </si>
  <si>
    <t>CK-10</t>
  </si>
  <si>
    <t>CK-11</t>
  </si>
  <si>
    <t>CK-12</t>
  </si>
  <si>
    <t>CK-13</t>
  </si>
  <si>
    <t>CK-14</t>
  </si>
  <si>
    <t xml:space="preserve">  - Chi phÝ thÈm ®Þnh HS mêi quan t©m, s¬ tuyÓn</t>
  </si>
  <si>
    <t>CK-15</t>
  </si>
  <si>
    <t>CK-16</t>
  </si>
  <si>
    <t>CK-17</t>
  </si>
  <si>
    <t>CK-18</t>
  </si>
  <si>
    <t>1- H¹ng môc c«ng tr×nh d©n dông:</t>
  </si>
  <si>
    <t>\1- H¹ng môc 1</t>
  </si>
  <si>
    <t>\2- H¹ng môc 2</t>
  </si>
  <si>
    <t>2- H¹ng môc c«ng tr×nh C«ng nghiÖp</t>
  </si>
  <si>
    <t>\3- H¹ng môc 3</t>
  </si>
  <si>
    <t>3- H¹ng môc c«ng tr×nh Giao th«ng</t>
  </si>
  <si>
    <t>4- H¹ng môc c«ng tr×nh N«ng nghiÖp &amp; PTNT</t>
  </si>
  <si>
    <t>5- H¹ng môc c«ng tr×nh H¹ tÇng</t>
  </si>
  <si>
    <t>* Chi phÝ qu¶n lý:</t>
  </si>
  <si>
    <t>chi phÝ TT tr­íc thuÕ</t>
  </si>
  <si>
    <t>§¾p ®Êt phô lÒ ®­êng K95 (tËn dông ®Êt ®µo)</t>
  </si>
  <si>
    <t>\2- MÆt ®­êng BTXM</t>
  </si>
  <si>
    <t>* Chi phÝ qu¶n lý dù ¸n</t>
  </si>
  <si>
    <t xml:space="preserve">  - Chi phÝ lËp B¸o c¸o KTKT</t>
  </si>
  <si>
    <t xml:space="preserve">  - Chi phÝ gi¸m s¸t x©y dùng</t>
  </si>
  <si>
    <t xml:space="preserve">  - LÖ phÝ thÈm ®Þnh TK BVTC</t>
  </si>
  <si>
    <t xml:space="preserve">  - LÖ phÝ thÈm ®Þnh Dù to¸n</t>
  </si>
  <si>
    <t xml:space="preserve">  - PhÝ thÈm ®Þnh TK BVTC</t>
  </si>
  <si>
    <t xml:space="preserve">  - PhÝ thÈm ®Þnh Dù to¸n</t>
  </si>
  <si>
    <t>AD.27253g</t>
  </si>
  <si>
    <t>AD.27253p</t>
  </si>
  <si>
    <t>AD.27253L</t>
  </si>
  <si>
    <t xml:space="preserve">   - §¸ d¨m 1x2 - LH</t>
  </si>
  <si>
    <t xml:space="preserve">   - §¸ 0.5x1 - LH</t>
  </si>
  <si>
    <t xml:space="preserve">   - §¸ mi - LH</t>
  </si>
  <si>
    <t xml:space="preserve">   - C¸t vµng - LH</t>
  </si>
  <si>
    <t xml:space="preserve">   - Nhùa ®­êng - LH</t>
  </si>
  <si>
    <t>Tr¹m La Hµ</t>
  </si>
  <si>
    <t>CK.31420</t>
  </si>
  <si>
    <t>®­êng ®ång møc 1m, ®Þa h×nh cÊp II</t>
  </si>
  <si>
    <t>C«ng t¸c kh¶o s¸t</t>
  </si>
  <si>
    <t>LËp mèc cao ®é, to¹ ®é gi¶ ®Þnh, ®é chÝnh x¸c t­¬ng ®­¬ng ®­êng chuyÒn cÊp 2, §Þa h×nh cÊp 3</t>
  </si>
  <si>
    <t>\DÇm b¶n D¦L - L=33m:</t>
  </si>
  <si>
    <t>AG.12217</t>
  </si>
  <si>
    <t>§æ bª t«ng dÇm ®Æc ch÷  I,T, 40Mpa ®¸ 1x2</t>
  </si>
  <si>
    <t>AF.52171v</t>
  </si>
  <si>
    <t>VËn chuyÓn bª t«ng 15Km (tr¹m ...)</t>
  </si>
  <si>
    <t>AF.52161</t>
  </si>
  <si>
    <t>VËn chuyÓn v÷a bª t«ng b»ng « t« chuyÓn trén, cù ly 4.0km, « t« 6m3</t>
  </si>
  <si>
    <t>AF.52171</t>
  </si>
  <si>
    <t>VËn chuyÓn v÷a bª t«ng = « t« chuyÓn trén 1km tiÕp theo ngoµi ph¹m vi 4km, « t« 6m3</t>
  </si>
  <si>
    <t>AG.32121</t>
  </si>
  <si>
    <t>S¶n xuÊt, l¾p dùng vµ th¸o dì v¸n dÇm</t>
  </si>
  <si>
    <t>AG.13421</t>
  </si>
  <si>
    <t>Cèt thÐp dÇm cÇu §K&lt;=18mm</t>
  </si>
  <si>
    <t>AG.13431</t>
  </si>
  <si>
    <t>Cèt thÐp dÇm cÇu §K&gt;18mm</t>
  </si>
  <si>
    <t>AG.13511</t>
  </si>
  <si>
    <t>C¸p thÐp D¦L 12.7mm c¨ng sau</t>
  </si>
  <si>
    <t>AI.64111a</t>
  </si>
  <si>
    <t>L¾p ®Æt èng ghen 65/72 luån c¸p</t>
  </si>
  <si>
    <t>AG.13531v</t>
  </si>
  <si>
    <t>L¾p ®Æt neo c«ng t¸c ®Çu neo 13-12</t>
  </si>
  <si>
    <t>1 ®Çu</t>
  </si>
  <si>
    <t>AF.37410</t>
  </si>
  <si>
    <t>B¬m v÷a XM 45Mpa lç èng ghen</t>
  </si>
  <si>
    <t>QuÐt keo Sikadur 732 ®Çu dÇm (0.5 kg/m2)</t>
  </si>
  <si>
    <t>AL.25112a</t>
  </si>
  <si>
    <t>L¾p gèi cao su, GJZ, KT(450x350x78)mm</t>
  </si>
  <si>
    <t>\DÇm ngang &amp; b¶n mÆt cÇu:</t>
  </si>
  <si>
    <t>AF.12315</t>
  </si>
  <si>
    <t>Bª t«ng xµ, dÇm, ngang 30Mpa</t>
  </si>
  <si>
    <t>AF.86311</t>
  </si>
  <si>
    <t>V¸n khu«n dÇm ngang</t>
  </si>
  <si>
    <t>AF.61522</t>
  </si>
  <si>
    <t>Gia c«ng cèt thÐp dÇm ngang ®k&lt;=18mm</t>
  </si>
  <si>
    <t>AF.14315</t>
  </si>
  <si>
    <t>Bª t«ng líp phñ mÆt cÇu 30Mpa, ®¸ 1x2</t>
  </si>
  <si>
    <t>AF.86111</t>
  </si>
  <si>
    <t>V¸n khu«n mÆt cÇu</t>
  </si>
  <si>
    <t>AF.61711</t>
  </si>
  <si>
    <t>Cèt thÐp líp phñ §K&lt;=10mm</t>
  </si>
  <si>
    <t>AF.61721</t>
  </si>
  <si>
    <t>Cèt thÐp líp phñ §K&gt;10mm</t>
  </si>
  <si>
    <t>AK.92111b</t>
  </si>
  <si>
    <t>Líp phßng n­íc phun láng (0.2L/m2)</t>
  </si>
  <si>
    <t>Bª t«ng ®an lµm VK mÆt cÇu M250, ®¸ 1x2</t>
  </si>
  <si>
    <t>\Tho¸t n­íc mÆt cÇu</t>
  </si>
  <si>
    <t>NAP</t>
  </si>
  <si>
    <t>N¾p ch¾n r¸c D224mm, dµy 2mm</t>
  </si>
  <si>
    <t>BB.41110</t>
  </si>
  <si>
    <t>L¾p ®Æt èng tho¸t n­íc PVC D150</t>
  </si>
  <si>
    <t>BB.75108</t>
  </si>
  <si>
    <t>L¾p co l¬i (135 ®é) nhùa PVC - D150</t>
  </si>
  <si>
    <t>BB.31012</t>
  </si>
  <si>
    <t>è. thÐp (kÏm) SPEC D150, dµy 5mm</t>
  </si>
  <si>
    <t>\Lan can tay vÞn:</t>
  </si>
  <si>
    <t>L¾p dùng kcÊu thÐp h×nh trô, h×nh èng</t>
  </si>
  <si>
    <t>\Khe co d·n:</t>
  </si>
  <si>
    <t>AL.25122.</t>
  </si>
  <si>
    <t>SX &amp; L¾p ®Æt khe ray thÐp C50</t>
  </si>
  <si>
    <t>AF.61210</t>
  </si>
  <si>
    <t>Cèt thÐp khe co d·n §K&lt;=10mm</t>
  </si>
  <si>
    <t>AF.61220</t>
  </si>
  <si>
    <t>Cèt thÐp khe co d·n §K&lt;=18mm</t>
  </si>
  <si>
    <t>AF.11316v</t>
  </si>
  <si>
    <t>BT kh«ng co ngãt 40Mpa (sikagrout) - khe co d·n</t>
  </si>
  <si>
    <t>AG.11817</t>
  </si>
  <si>
    <t>Bª t«ng dÇm b¶n 40Mpa, ®¸ 1x2 (®æ thñ c«ng)</t>
  </si>
  <si>
    <t>AG.12237</t>
  </si>
  <si>
    <t>Bª t«ng dÇm b¶n 40Mpa, ®¸ 1x2 (®æ m¸y b¬m)</t>
  </si>
  <si>
    <t>AG.32111</t>
  </si>
  <si>
    <t>V¸n khu«n thÐp dÇm b¶n</t>
  </si>
  <si>
    <t>BB.41112</t>
  </si>
  <si>
    <t>L¾p èng PVC D250 - t¹o lç rçng</t>
  </si>
  <si>
    <t>BB.41101</t>
  </si>
  <si>
    <t>L¾p èng PVC D21, dµy 1.7mm bäc c¸p</t>
  </si>
  <si>
    <t>AI.64111b</t>
  </si>
  <si>
    <t>L¾p ®Æt èng thÐp luån c¸p ngang D50/60</t>
  </si>
  <si>
    <t>AG.13512</t>
  </si>
  <si>
    <t>C¸p thÐp D¦L 12.7mm c¨ng tr­íc (c¸p däc chñ)</t>
  </si>
  <si>
    <t>AG.13531a</t>
  </si>
  <si>
    <t>L¾p ®Æt vµ th¸o dì neo c«ng cô (neo 1 lç)</t>
  </si>
  <si>
    <t>C¸p thÐp D¦L 12.7mm c¨ng sau (c¸p ngang)</t>
  </si>
  <si>
    <t>AG.13531b</t>
  </si>
  <si>
    <t>L¾p ®Æt neo c«ng t¸c ®Çu neo 13-4 (c¸p ngang)</t>
  </si>
  <si>
    <t>B¬m v÷a xi m¨ng trong èng luån c¸p</t>
  </si>
  <si>
    <t>AK.2113.5</t>
  </si>
  <si>
    <t>Tr¸t v÷a M100 dµy 2cm ®Çu dÇm</t>
  </si>
  <si>
    <t>AL.25112.</t>
  </si>
  <si>
    <t>AF.14115</t>
  </si>
  <si>
    <t>Bª t«ng mè cÇu 30Mpa (®æ t¹i chç, m¸y trén)</t>
  </si>
  <si>
    <t>AF.33115</t>
  </si>
  <si>
    <t>Bª t«ng mãng mè cÇu 30Mpa (®æ b»ng m¸y b¬m)</t>
  </si>
  <si>
    <t>AF.33215</t>
  </si>
  <si>
    <t>Bª t«ng mò mè cÇu 30Mpa (®æ b»ng m¸y b¬m)</t>
  </si>
  <si>
    <t>AF.87211</t>
  </si>
  <si>
    <t>V¸n khu«n mè</t>
  </si>
  <si>
    <t>AF.65120</t>
  </si>
  <si>
    <t>Cèt thÐp mè §K&lt;=18mm</t>
  </si>
  <si>
    <t>AF.65130</t>
  </si>
  <si>
    <t>Cèt thÐp mè §K&gt;18mm</t>
  </si>
  <si>
    <t>AI.13131</t>
  </si>
  <si>
    <t>ThÐp b¶n (500x450x20)mm</t>
  </si>
  <si>
    <t>AF.11231</t>
  </si>
  <si>
    <t>Bª t«ng lãt mãng 12Mpa, ®¸ 2x4</t>
  </si>
  <si>
    <t>AF.11121.</t>
  </si>
  <si>
    <t>Bª t«ng lãt mãng 12Mpa, ®¸ 1x2</t>
  </si>
  <si>
    <t>AE.11935</t>
  </si>
  <si>
    <t>§¸ héc x©y m¸i 1/4 nãn v÷a 8Mpa</t>
  </si>
  <si>
    <t>Bª t«ng ch©n khay 12Mpa, ®¸ 2x4</t>
  </si>
  <si>
    <t>AF.15311</t>
  </si>
  <si>
    <t>Bª t«ng bËc cÊp 12Mpa, ®¸ 1x2</t>
  </si>
  <si>
    <t>AF.15312</t>
  </si>
  <si>
    <t>Bª t«ng bËc cÊp 16Mpa, ®¸ 1x2</t>
  </si>
  <si>
    <t>èng PVC D49mm, dµy 2.2mm</t>
  </si>
  <si>
    <t>D¨m s¹n ®Öm</t>
  </si>
  <si>
    <t>AL.15122.</t>
  </si>
  <si>
    <t>XÕp rä ®¸ (2x1x0.5)m -PVC, m¾c (10-12)cm</t>
  </si>
  <si>
    <t>§µo mãng ch©n khay (10% NC)</t>
  </si>
  <si>
    <t>§¾p c¸t sau mè ®Çm chÆt K95</t>
  </si>
  <si>
    <t>\B¶n vuît ®Çu cÇu:</t>
  </si>
  <si>
    <t>Bª t«ng b¶n v­ît 25Mpa, ®¸ 1x2</t>
  </si>
  <si>
    <t>V¸n khu«n b¶n v­ît</t>
  </si>
  <si>
    <t>Gia c«ng cèt thÐp b¶n v­ît §K&lt;=10mm</t>
  </si>
  <si>
    <t>Gia c«ng cèt thÐp b¶n v­ît §K&lt;=18mm</t>
  </si>
  <si>
    <t>Gia c«ng cèt thÐp b¶n v­ît §K&gt;18mm</t>
  </si>
  <si>
    <t>AD.11212.</t>
  </si>
  <si>
    <t>§Öm CP§D lo¹i 1 (Dmax=37.5mm)</t>
  </si>
  <si>
    <t>AB.62121</t>
  </si>
  <si>
    <t>§¾p ®Êt san nÒn c«ng tr­êng K85</t>
  </si>
  <si>
    <t>AB.62123</t>
  </si>
  <si>
    <t>§¾p ®Êt san nÒn b·i ®óc K95</t>
  </si>
  <si>
    <t>§Êt ®¾p san nÒn b·i ®óc</t>
  </si>
  <si>
    <t>AB.41233</t>
  </si>
  <si>
    <t>VËn chuyÓn ®Êt 0.5km (®Êt ®µo nÒn ®­êng)</t>
  </si>
  <si>
    <t>Lµm líp ®¸ ®Öm mãng</t>
  </si>
  <si>
    <t>Lµm mãng CP§D lo¹i 1 (Dmax&lt;=25mm) -líp d­íi</t>
  </si>
  <si>
    <t>Lµm mãng CP§D lo¹i 1 (Dmax&lt;=25mm) -líp trªn</t>
  </si>
  <si>
    <t>AF.11414</t>
  </si>
  <si>
    <t>Bª t«ng bÖ ®óc + ô kª 25Mpa, ®¸ 1x2</t>
  </si>
  <si>
    <t>Gia c«ng cèt thÐp bÖ ®øc + ô kª</t>
  </si>
  <si>
    <t>AI.11911v</t>
  </si>
  <si>
    <t>AI.63311</t>
  </si>
  <si>
    <t>L¾p dùng bÖ ®óc</t>
  </si>
  <si>
    <t>AI.63411</t>
  </si>
  <si>
    <t>Th¸o dì bÖ ®óc</t>
  </si>
  <si>
    <t>AF.11413</t>
  </si>
  <si>
    <t>Bª t«ng bÖ ®óc + ô kª M250, ®¸ 1x2</t>
  </si>
  <si>
    <t>AB.25234</t>
  </si>
  <si>
    <t>§µo ®Êt mãng mè ®c4 (m¸y ®µo)</t>
  </si>
  <si>
    <t>AB.11384</t>
  </si>
  <si>
    <t>AB.11383</t>
  </si>
  <si>
    <t>§µo ®Êt mãng mè ®c3 (NC)</t>
  </si>
  <si>
    <t>AB.51123</t>
  </si>
  <si>
    <t>Ph¸ ®¸ hè mãng b»ng m¸y khoan (®¸ CIII)</t>
  </si>
  <si>
    <t>AB.51613</t>
  </si>
  <si>
    <t>§ôc ®¸ hè mãng b»ng bóa c¨n (®¸ CIII)</t>
  </si>
  <si>
    <t>Ph¸ ®¸ må c«i = m¸y ®µo 1.25m3 g¾n hµm kÑp</t>
  </si>
  <si>
    <t>AB.51811</t>
  </si>
  <si>
    <t>Ph¸ ®¸ mãng = m¸y ®µo 1.6m3, g¾n bóa TL, ®¸ cÊp III</t>
  </si>
  <si>
    <t>AB.51812</t>
  </si>
  <si>
    <t>Ph¸ ®¸ mãng = m¸y ®µo 12.5m3, g¾n bóa TL, ®¸ cÊp IV</t>
  </si>
  <si>
    <t>AB.52131</t>
  </si>
  <si>
    <t>Xóc ®¸ dän ®¸ lªn ph­¬ng tiÖn vc</t>
  </si>
  <si>
    <t>LÊp ®Êt hè mãng</t>
  </si>
  <si>
    <t>AB.42133v2</t>
  </si>
  <si>
    <t>AI.61171</t>
  </si>
  <si>
    <t>L¾p dùng sµn thao t¸c</t>
  </si>
  <si>
    <t>Th¸o dì kÕt cÊu thÐp</t>
  </si>
  <si>
    <t>§¾p ®Êt t¹o vßng v©y ng¨n, dÉn n­íc (tËn dông ®Êt ®µo)</t>
  </si>
  <si>
    <t>BAPTAI</t>
  </si>
  <si>
    <t>XÕp bao t¶i dån c¸t chèng s¹t</t>
  </si>
  <si>
    <t>1 bao</t>
  </si>
  <si>
    <t>§µo ®Êt kh¬i dßng ®c3 (m¸y ®µo)</t>
  </si>
  <si>
    <t>§¾p ®Êt chØnh dßng (tËn dông ®Êt ®µo)</t>
  </si>
  <si>
    <t>Th¸o dì vßng v©y</t>
  </si>
  <si>
    <t>VËn chuyÓn ®Êt ®æ ®i 0.5Km</t>
  </si>
  <si>
    <t>\ L¾p ®Æt dÇm b¶n</t>
  </si>
  <si>
    <t>AG.52510v</t>
  </si>
  <si>
    <t>L¾p ®Æt dÇm b¶n D¦L L=15m</t>
  </si>
  <si>
    <t>1 dÇm</t>
  </si>
  <si>
    <t>AG.53410</t>
  </si>
  <si>
    <t>Di chuyÓn dÇm cÇu = m¸y ChiÒu dµi dÇm 18m&lt;=L&lt;=28m</t>
  </si>
  <si>
    <t>1dÇ/100m</t>
  </si>
  <si>
    <t>AG.53310</t>
  </si>
  <si>
    <t>N©ng h¹ dÇm cÇu = m¸y ChiÒu dµi dÇm 18m&lt;=L&lt;=28m</t>
  </si>
  <si>
    <t>\ L¾p ®Æt dÇm I, L=33m</t>
  </si>
  <si>
    <t>AG.52610</t>
  </si>
  <si>
    <t>L¾p ®Æt dÇm I 33m = 2 cÇn cÈu 63T, trªn c¹n</t>
  </si>
  <si>
    <t>AG.53420</t>
  </si>
  <si>
    <t>Di chuyÓn dÇm cÇu L=33m,ph¹m vi &lt;=100m</t>
  </si>
  <si>
    <t>AG.53320</t>
  </si>
  <si>
    <t>N©ng, h¹ dÇm cÇu L=33m</t>
  </si>
  <si>
    <t>\ Sµn thao t¸c thi c«ng b¶n mÆt cÇu</t>
  </si>
  <si>
    <t>AI.11911</t>
  </si>
  <si>
    <t>S¶n xuÊt sµn thÐp hép (5x10)cm, dµy 2.5mm</t>
  </si>
  <si>
    <t>AH.21221</t>
  </si>
  <si>
    <t>S¶n xuÊt l¾p dùng gç sµn c«ng t¸c</t>
  </si>
  <si>
    <t>§µo ®Êt mãng cèng t¹m, ®c3</t>
  </si>
  <si>
    <t>AB.42133v3</t>
  </si>
  <si>
    <t>AB.42134v3</t>
  </si>
  <si>
    <t>AB.21131</t>
  </si>
  <si>
    <t>VÐt h÷u c¬ nÒn ®­êng, ®c1</t>
  </si>
  <si>
    <t>AB.21132</t>
  </si>
  <si>
    <t>VÐt h÷u c¬ nÒn ®­êng, ®c2</t>
  </si>
  <si>
    <t>AB.64134</t>
  </si>
  <si>
    <t>VËn chuyÓn ®Êt ®¾p TB &lt;5Km</t>
  </si>
  <si>
    <t>VËn chuyÓn ®Êt ®æ ®i 3Km, ®c3</t>
  </si>
  <si>
    <t>AB.42131v3</t>
  </si>
  <si>
    <t>VËn chuyÓn ®Êt ®æ ®i 3Km, ®c1</t>
  </si>
  <si>
    <t>AB.62122</t>
  </si>
  <si>
    <t>San ®Çm ®Êt K90 b»ng m¸y lu b¸nh thÐp 16T</t>
  </si>
  <si>
    <t>VËn chuyÓn phÕ th¶i ®æ ®i 3Km</t>
  </si>
  <si>
    <t>Líp mãng CP§D lo¹i 1 líp d­íi dµy 15cm</t>
  </si>
  <si>
    <t>C¾t khe däc ®­êng BTXM</t>
  </si>
  <si>
    <t>C¾t mÆt ®­êng bª t«ng Asphalt &lt;=7cm</t>
  </si>
  <si>
    <t>SE.11211</t>
  </si>
  <si>
    <t>C¾t mÆt ®­êng bª t«ng Asphalt &lt;=5cm</t>
  </si>
  <si>
    <t>AD.26130g2</t>
  </si>
  <si>
    <t>AD.26140d2</t>
  </si>
  <si>
    <t>AD.26140L2</t>
  </si>
  <si>
    <t>AD.26130p2</t>
  </si>
  <si>
    <t>AD.26130g1</t>
  </si>
  <si>
    <t>AD.26140d1</t>
  </si>
  <si>
    <t>AD.26140L1</t>
  </si>
  <si>
    <t>S¶n xuÊt bª t«ng nhùa BTN C12.5 (Tr¹m La Hµ)</t>
  </si>
  <si>
    <t>AD.26130p1</t>
  </si>
  <si>
    <t>AD.27253d</t>
  </si>
  <si>
    <t>Thi c«ng mÆt ®­êng ®¸ d¨m n­íc líp trªn</t>
  </si>
  <si>
    <t>Ph¸ dì BT mÆt ®­êng cò</t>
  </si>
  <si>
    <t>AF.15415.</t>
  </si>
  <si>
    <t>AF.15413.</t>
  </si>
  <si>
    <t>Bª t«ng m¸i taluy M150, ®¸ 1x2</t>
  </si>
  <si>
    <t>BT ch©n khay BT M150, ®¸ 2x4</t>
  </si>
  <si>
    <t>AF.11251</t>
  </si>
  <si>
    <t>BT ch©n khay BT M150, ®¸ 4x6</t>
  </si>
  <si>
    <t>V¸n khu«n ch©n khay</t>
  </si>
  <si>
    <t>Lµm líp ®¸ d¨m ®Öm mãng</t>
  </si>
  <si>
    <t>§µo mãng ch©n khay</t>
  </si>
  <si>
    <t>LÊp ®Êt ch©n khay</t>
  </si>
  <si>
    <t>AG.11412</t>
  </si>
  <si>
    <t>Bª t«ng tÊm èp gia cè m¸i M200, ®¸ 1x2</t>
  </si>
  <si>
    <t>Cèt thÐp tÊm èp</t>
  </si>
  <si>
    <t>AK.55110v</t>
  </si>
  <si>
    <t>L¾p ®Æt tÊm èp vµ lµm mèi nèi</t>
  </si>
  <si>
    <t>AF.11312x</t>
  </si>
  <si>
    <t>BT M150 ®¸ 1x2 mèi nèi (ko tÝnh c«ng)</t>
  </si>
  <si>
    <t>VAI KT</t>
  </si>
  <si>
    <t>V¶i ®Þa KT quÊn quanh ®¸ d¨m tÇng läc</t>
  </si>
  <si>
    <t>AF.15321</t>
  </si>
  <si>
    <t>Bª t«ng m¸i taluy M150, ®¸ 2x4</t>
  </si>
  <si>
    <t>Bª t«ng m¸i taluy M200, ®¸ 1x2</t>
  </si>
  <si>
    <t>\Trång cá m¸i taluy</t>
  </si>
  <si>
    <t>AL.18112</t>
  </si>
  <si>
    <t>Trång cá Vetiver gia cè m¸i taluy (-)</t>
  </si>
  <si>
    <t>AL.18111</t>
  </si>
  <si>
    <t>Trång cá Vetiver gia cè m¸i taluy (+)</t>
  </si>
  <si>
    <t>AL.17111</t>
  </si>
  <si>
    <t>Trång cá kªnh m­¬ng, ®ª, ®Ëp, nÒn ®­êng</t>
  </si>
  <si>
    <t>AL.17211</t>
  </si>
  <si>
    <t>VËn chuyÓn vÇng cá tiÕp 10m</t>
  </si>
  <si>
    <t>Cèt thÐp tÊm bª t«ng</t>
  </si>
  <si>
    <t>AF.11211</t>
  </si>
  <si>
    <t>AF.13221</t>
  </si>
  <si>
    <t>\1. BiÓn b¸o tªn cÇu</t>
  </si>
  <si>
    <t>AD.32511v</t>
  </si>
  <si>
    <t>Sx, l¾p ®Æt biÓn b¸o ch÷ nhËt (45x90)cm</t>
  </si>
  <si>
    <t>\1. Cäc tiªu</t>
  </si>
  <si>
    <t>D114-L2.25</t>
  </si>
  <si>
    <t>AK.91131v</t>
  </si>
  <si>
    <t>AK.91131t</t>
  </si>
  <si>
    <t>S¬n kÎ ®­êng ph.quang mµu tr¾ng dµy 2mm</t>
  </si>
  <si>
    <t>AK.91141</t>
  </si>
  <si>
    <t>S¬n kÎ ®­êng ph.quang mµu ..... dµy 3mm</t>
  </si>
  <si>
    <t>*\V- M­¬ng R·nh tho¸t n­íc däc:</t>
  </si>
  <si>
    <t>AF.13212</t>
  </si>
  <si>
    <t>§¾p c¸t c«ng tr×nh = m¸y ®Çm ®Êt 70kg</t>
  </si>
  <si>
    <t>C¾t BT mÆt ®­êng BTXM</t>
  </si>
  <si>
    <t>C¾t mÆt ®­êng bª t«ng Asphalt dµy &lt;=7cm</t>
  </si>
  <si>
    <t>AF.17213</t>
  </si>
  <si>
    <t>AF.11313</t>
  </si>
  <si>
    <t>AG.11512</t>
  </si>
  <si>
    <t>BB.11212</t>
  </si>
  <si>
    <t>L¾p ®Æt èng buy D1000 - H30 (®o¹n L=1m)</t>
  </si>
  <si>
    <t>L¾p ®Æt èng buy D600 - H30 (®o¹n L=2m)</t>
  </si>
  <si>
    <t>L¾p ®Æt èng buy D600 - H30 (®o¹n L=4m)</t>
  </si>
  <si>
    <t>Nèi èng BT D1500mm b»ng gio¨ng cao su</t>
  </si>
  <si>
    <t>Nèi èng BT D600 b»ng PP x¶m</t>
  </si>
  <si>
    <t>AF.17221</t>
  </si>
  <si>
    <t>AF.13415</t>
  </si>
  <si>
    <t>AF.12171</t>
  </si>
  <si>
    <t>AF.86211</t>
  </si>
  <si>
    <t>AF.14324</t>
  </si>
  <si>
    <t>AF.11213</t>
  </si>
  <si>
    <t>CX2.01.012</t>
  </si>
  <si>
    <t>CX3.01.001</t>
  </si>
  <si>
    <t>CX2.01.03b1</t>
  </si>
  <si>
    <t>AF.11311</t>
  </si>
  <si>
    <t>1m3</t>
  </si>
  <si>
    <t xml:space="preserve">   - Bª t«ng 40Mpa</t>
  </si>
  <si>
    <t>Chai</t>
  </si>
  <si>
    <t>Viªn</t>
  </si>
  <si>
    <t xml:space="preserve">   - èng ghen D65/72mm</t>
  </si>
  <si>
    <t xml:space="preserve">   - èng nèi D65/72</t>
  </si>
  <si>
    <t xml:space="preserve">   - L­íi thÐp ®Þnh vÞ d=6mm</t>
  </si>
  <si>
    <t xml:space="preserve">   - L­ìi c­a c¾t</t>
  </si>
  <si>
    <t xml:space="preserve">   - §Çu neo OVM 13-12</t>
  </si>
  <si>
    <t xml:space="preserve">   - C«n nhùa</t>
  </si>
  <si>
    <t xml:space="preserve">   - Cèc nhùa</t>
  </si>
  <si>
    <t xml:space="preserve">   - Mì trung tÝnh</t>
  </si>
  <si>
    <t xml:space="preserve">   - Sika Grout 214-11</t>
  </si>
  <si>
    <t xml:space="preserve">   - Phô gia</t>
  </si>
  <si>
    <t xml:space="preserve">   - Gèi GJZ (450x350x78)mm</t>
  </si>
  <si>
    <t xml:space="preserve">   - ThÐp trßn d&gt;10mm</t>
  </si>
  <si>
    <t xml:space="preserve">   - Radcon formula</t>
  </si>
  <si>
    <t xml:space="preserve">   - N¾p ch¾n r¸c D224mm (gang)</t>
  </si>
  <si>
    <t xml:space="preserve">   - Nhùa d¸n</t>
  </si>
  <si>
    <t xml:space="preserve">   - Co l¬i PVC D150 (§H)</t>
  </si>
  <si>
    <t xml:space="preserve">   - Keo d¸n nhùa</t>
  </si>
  <si>
    <t xml:space="preserve">   - èng (kÏm) SPEC D150, dµy 5mm</t>
  </si>
  <si>
    <t xml:space="preserve">   - Khe co gi·n ray thÐp VHR-C50</t>
  </si>
  <si>
    <t xml:space="preserve">   - Phô gia dÎo hãa</t>
  </si>
  <si>
    <t xml:space="preserve">   - èng uPVC D21, dµy 1.7mm</t>
  </si>
  <si>
    <t xml:space="preserve">   - èng ghen D50/60mm</t>
  </si>
  <si>
    <t xml:space="preserve">   - èng nèi D50/60</t>
  </si>
  <si>
    <t xml:space="preserve">   - Neo c«ng cô (1 lç)</t>
  </si>
  <si>
    <t xml:space="preserve">   - §Çu neo OVM 13-4</t>
  </si>
  <si>
    <t xml:space="preserve">   - C¸t mÞn Ml=0.7-1.4</t>
  </si>
  <si>
    <t xml:space="preserve">   - Bª t«ng 30Mpa</t>
  </si>
  <si>
    <t xml:space="preserve">   - §¸ d¨m chÌn</t>
  </si>
  <si>
    <t xml:space="preserve">   - C¸t vµng Ml&gt;2</t>
  </si>
  <si>
    <t xml:space="preserve">   - Rä PVC (2x1x0.5)m-m¾c (10-12)cm</t>
  </si>
  <si>
    <t xml:space="preserve">   - CP§D lo¹i 1 (Dmax=37.5mm)</t>
  </si>
  <si>
    <t xml:space="preserve">   - Bu l«ng</t>
  </si>
  <si>
    <t xml:space="preserve">   - Thuèc næ Am«nÝt</t>
  </si>
  <si>
    <t xml:space="preserve">   - KÝp ®iÖn vi sai</t>
  </si>
  <si>
    <t xml:space="preserve">   - D©y næ</t>
  </si>
  <si>
    <t xml:space="preserve">   - D©y ®iÖn næ m×n</t>
  </si>
  <si>
    <t xml:space="preserve">   - Mòi khoan d76mm</t>
  </si>
  <si>
    <t xml:space="preserve">   - Mòi khoan d42mm</t>
  </si>
  <si>
    <t xml:space="preserve">   - CÇn khoan d38, L=3.73m</t>
  </si>
  <si>
    <t xml:space="preserve">   - CÇn khoan d32, L=0.70m</t>
  </si>
  <si>
    <t xml:space="preserve">   - §u«i choßng d38</t>
  </si>
  <si>
    <t xml:space="preserve">   - Bao t¶i</t>
  </si>
  <si>
    <t xml:space="preserve">   - C¸t ®¾p</t>
  </si>
  <si>
    <t xml:space="preserve">   - Gç kª</t>
  </si>
  <si>
    <t xml:space="preserve">   - Gç</t>
  </si>
  <si>
    <t xml:space="preserve">   - §inh ®Øa</t>
  </si>
  <si>
    <t xml:space="preserve">   - DÇu háa (kg)</t>
  </si>
  <si>
    <t xml:space="preserve">   - L­ìi c¾t bª t«ng lo¹i 356mm</t>
  </si>
  <si>
    <t xml:space="preserve">   - V¶i ®Þa KT</t>
  </si>
  <si>
    <t xml:space="preserve">   - BÇu cá Vetiver</t>
  </si>
  <si>
    <t>bÇu</t>
  </si>
  <si>
    <t xml:space="preserve">   - Ph©n sinh hãa h÷u c¬ bãn lãt</t>
  </si>
  <si>
    <t xml:space="preserve">   - Ph©n bãn l¸</t>
  </si>
  <si>
    <t xml:space="preserve">   - S¬n dÎo nhiÖt p. quag mµu vµng</t>
  </si>
  <si>
    <t xml:space="preserve">   - S¬n dÎo nhiÖt p. quag mµu tr¾ng</t>
  </si>
  <si>
    <t xml:space="preserve">   - S¬n dÎo nhiÖt</t>
  </si>
  <si>
    <t xml:space="preserve">   - Buy LT D600-H30</t>
  </si>
  <si>
    <t>Tr¹m Phæ Phong</t>
  </si>
  <si>
    <t xml:space="preserve">   - èng PVC D150, dµy 4.5mm (§H)</t>
  </si>
  <si>
    <t xml:space="preserve">   - èng uPVC D250, dµy 4.9mm</t>
  </si>
  <si>
    <t>AB.54141v3</t>
  </si>
  <si>
    <t>VËn chuyÓn ®¸ ®æ ®i 3Km</t>
  </si>
  <si>
    <t>VËn chuyÓn ®Êt thõa ®æ ®i 3Km</t>
  </si>
  <si>
    <t>V÷a M100 ®Öm d­íi ®¸y r·nh+ chÝt  m¹ch
(C«ng ®· tÝnh trong c«ng t¸c l¾p ®Æt):</t>
  </si>
  <si>
    <t>®o¹n</t>
  </si>
  <si>
    <t>\Cäc tiªu</t>
  </si>
  <si>
    <t xml:space="preserve">  - §¶m b¶o giao th«ng</t>
  </si>
  <si>
    <t>AD.24233</t>
  </si>
  <si>
    <t>L¸ng nhùa 3 líp TC 4.5kg/m2, dµy 3.5cm</t>
  </si>
  <si>
    <t>Tr¾c däc cÇu 300m + ®­êng tr¸nh 116m</t>
  </si>
  <si>
    <t>Khoan xoay b¬m röa trªn c¹n ®é s©u ®Õn 30m,CÊp ®Êt ®¸ I -III</t>
  </si>
  <si>
    <t>Khoan xoay b¬m röa trªn c¹n ®é s©u ®Õn 30m,CÊp ®Êt ®¸ IV -VI</t>
  </si>
  <si>
    <t>Khoan xoay b¬m röa trªn c¹n ®é s©u ®Õn 30m,CÊp ®®¸VII-VIII</t>
  </si>
  <si>
    <t>Khoan xoay b¬m röa trªn c¹n ®é s©u ®Õn 30m,CÊp ®Êt ®¸ IX - X</t>
  </si>
  <si>
    <t>Khoan xoay b¬m röa trªn c¹n ®é s©u ®Õn 30m,CÊp ®Êt ®¸ XI-XII</t>
  </si>
  <si>
    <t>Khoan xoay b¬m röa ë d­íi n­íc ®é s©u 30m, CÊp ®Êt ®¸ I - III</t>
  </si>
  <si>
    <t>Khoan xoay b¬m röa ë d­íi n­íc ®é s©u 30m, CÊp ®Êt ®¸ IV - VI</t>
  </si>
  <si>
    <t>Khoan xoay b¬m röa ë d­íi n­íc ®é s©u 30m, CÊp ®Êt ®¸ VII-VIII</t>
  </si>
  <si>
    <t>Khoan xoay b¬m röa ë d­íi n­íc ®é s©u 30m, CÊp ®Êt ®¸ IX - X</t>
  </si>
  <si>
    <t>AI.62111v</t>
  </si>
  <si>
    <t xml:space="preserve">   - Tµ vÑt gç</t>
  </si>
  <si>
    <t>L¾p dùng hÖ khung ®ì cÇu cò ®¶m b¶o GT t¹m thêi</t>
  </si>
  <si>
    <t>Gia c«ng thÐp cÇu t¹m
(KhÊu hao 1.5%*12th¸ng+5%*1 lÇn=23%)</t>
  </si>
  <si>
    <t>Mãng ®­êng tr¸nh b»ng CP§D</t>
  </si>
  <si>
    <t>T¹m tÝnh</t>
  </si>
  <si>
    <t>\DÇm b¶n D¦L - L=11m:</t>
  </si>
  <si>
    <t>BB.41111</t>
  </si>
  <si>
    <t>L¾p èng PVC D200 - t¹o lç rçng</t>
  </si>
  <si>
    <t xml:space="preserve">   - èng uPVC D200, dµy 4.0mm</t>
  </si>
  <si>
    <t>AF.65110</t>
  </si>
  <si>
    <t>Cèt thÐp mè §K&lt;=10mm</t>
  </si>
  <si>
    <t>\Trô cÇu:</t>
  </si>
  <si>
    <t>\Mè cÇu:</t>
  </si>
  <si>
    <t>Gia c«ng hÖ sµn ®¹o, sµn thao t¸c
(KhÊu hao 1.5%*2th¸ng+5%*1 lÇn=6.5%)</t>
  </si>
  <si>
    <t>AA.31112</t>
  </si>
  <si>
    <t>Th¸o dì gç sµn c«ng t¸c</t>
  </si>
  <si>
    <t>AH.21221v</t>
  </si>
  <si>
    <t>AL.51414</t>
  </si>
  <si>
    <t xml:space="preserve">   - CÇn khoan 1.22m</t>
  </si>
  <si>
    <t xml:space="preserve">   - CÇn khoan 1.83m</t>
  </si>
  <si>
    <t>QuÐt nhùa thanh thÐp chèt ®Çu nhÞp</t>
  </si>
  <si>
    <t xml:space="preserve">   - C¸p thÐp D¦L 12.7mm</t>
  </si>
  <si>
    <t>AF.61130v</t>
  </si>
  <si>
    <t>L¾p ®Æt dÇm thÐp cÇu t¹m ®¶m b¶o GT t¹m thêi</t>
  </si>
  <si>
    <t>Bª t«ng trô cÇu 30Mpa (®æ t¹i chç, m¸y trén)</t>
  </si>
  <si>
    <t>V¸n khu«n trô</t>
  </si>
  <si>
    <t>Cèt thÐp trô §K&lt;=10mm</t>
  </si>
  <si>
    <t>Cèt thÐp trô §K&lt;=18mm</t>
  </si>
  <si>
    <t>Cèt thÐp trô §K&gt;18mm</t>
  </si>
  <si>
    <t>§µo ®Êt mãng mè trô ®c4 (NC)</t>
  </si>
  <si>
    <t>§µo ®Êt mãng mè trô ®c3 (m¸y ®µo)</t>
  </si>
  <si>
    <t>BT b¶n mÆt m­¬ng M250, ®¸ 1x2- ®æ t¹i chç</t>
  </si>
  <si>
    <t>§µo ®Êt m­¬ng hép, ®c3</t>
  </si>
  <si>
    <t>S¶n xuÊt ®an gang (271kg/ tÊm)</t>
  </si>
  <si>
    <t xml:space="preserve">§µo ®Êt mãng hè thu, ®c3 </t>
  </si>
  <si>
    <t>§µo ®Êt mãng ®­êng èng, ®c3</t>
  </si>
  <si>
    <t>AG.52321v</t>
  </si>
  <si>
    <t>L¾p ®Æt dÇm BTCT, träng l­îng &lt;15T</t>
  </si>
  <si>
    <t>L¾p ®Æt gèi cèng b»ng m¸y</t>
  </si>
  <si>
    <t>Gèi cèng D600 b»ng BTCT M200</t>
  </si>
  <si>
    <t>GOI-D600</t>
  </si>
  <si>
    <t xml:space="preserve">   - Gèi cèng D600 - BTCT</t>
  </si>
  <si>
    <t>1mèi</t>
  </si>
  <si>
    <t>\1- R·nh tho¸t däc h×nh thang (b¸n l¾p ghÐp):</t>
  </si>
  <si>
    <t>\3- §­êng èng D600</t>
  </si>
  <si>
    <t>\4- Hè thu</t>
  </si>
  <si>
    <t>\5- Cöa x¶:</t>
  </si>
  <si>
    <t>\6- H¹ng môc kh¸c</t>
  </si>
  <si>
    <t>\A- Th­îng bé:</t>
  </si>
  <si>
    <t>1- MÆt b»ng c«ng tr­êng</t>
  </si>
  <si>
    <t>2- BÖ ®óc dÇm + chøa dÇm:</t>
  </si>
  <si>
    <t>3- Thi c«ng mè, trô cÇu:</t>
  </si>
  <si>
    <t>4- Thi c«ng kÕt cÊu nhÞp:</t>
  </si>
  <si>
    <t>\5- Th¸o dì cèng cÇu cò</t>
  </si>
  <si>
    <t>\6- §­êng t¹m ®¶m b¶o giao th«ng</t>
  </si>
  <si>
    <t>\6.1- NÒn mÆt ®­êng</t>
  </si>
  <si>
    <t>\6.2- Tho¸t n­íc t¹m - 5D150</t>
  </si>
  <si>
    <t>\6.2- CÇu t¹m ®¶m b¶o GT, L=18m</t>
  </si>
  <si>
    <t>\6.4-  HÖ thèng ATGT ®­êng t¹m</t>
  </si>
  <si>
    <t>\ BiÓn b¸o</t>
  </si>
  <si>
    <t>L¾p ®Æt gèi cao su KT(150x180x28)mm-27T</t>
  </si>
  <si>
    <t xml:space="preserve">   - Gèi cao su (150x180x28)mm - 27T</t>
  </si>
  <si>
    <t>\B¶n mÆt cÇu:</t>
  </si>
  <si>
    <t>*\I- Th­îng bé (DÇm, b¶n mÆt cÇu, lan can tay vÞn…)</t>
  </si>
  <si>
    <t>*\II- H¹ bé (mè, trô cÇu)</t>
  </si>
  <si>
    <t>*\III- Khèi l­îng thi c«ng:</t>
  </si>
  <si>
    <t>th­îng bé
(dÇm, mÆt cÇu)</t>
  </si>
  <si>
    <t>h¹ bé
(mè, trô cÇu)</t>
  </si>
  <si>
    <t>biÖn ph¸p thi c«ng</t>
  </si>
  <si>
    <t>Gia c«ng khung thÐp h×nh bÖ ®óc (KhÊu hao 1.5%*3th¸ng+5%*1 lÇn=14%)</t>
  </si>
  <si>
    <t>Líp mãng CP§D lo¹i 1 líp trªn</t>
  </si>
  <si>
    <t>söa ch÷a ®¶m b¶o gt b­íc 1</t>
  </si>
  <si>
    <t>*</t>
  </si>
  <si>
    <t>AI.11912.2</t>
  </si>
  <si>
    <t>AI.11912.12</t>
  </si>
  <si>
    <t>Cèt thÐp líp phñ mÆt cÇu §K&lt;=10mm</t>
  </si>
  <si>
    <t>Cèt thÐp líp b¶n mÆt cÇu §K&gt;10mm</t>
  </si>
  <si>
    <t>Gia c«ng cÊy thÐp D25 vµ D32  t¹o b¸m</t>
  </si>
  <si>
    <t>§¾p ®Êt nãn mè k95</t>
  </si>
  <si>
    <t>Khoan t¹o lç cÊy thÐp t¹o b¸m</t>
  </si>
  <si>
    <t>§¾p ®Êt bÖ ®óc K95</t>
  </si>
  <si>
    <t>§Êt ®¾p bÖ ®óc</t>
  </si>
  <si>
    <t>Th¸o dì ®­êng tr¸nh</t>
  </si>
  <si>
    <t>1®o¹n</t>
  </si>
  <si>
    <t>TÊm ®Çu cong W(700x310x3)mm, ss400</t>
  </si>
  <si>
    <t>*\VIII- Söa ch÷a kh¾c phôc ®¶m b¶o giao th«ng b­íc 1</t>
  </si>
  <si>
    <t>AI.11912.3</t>
  </si>
  <si>
    <t>Gia c«ng thÐp cÇu t¹m
(KhÊu hao 1.5%*3th¸ng+5%*1 lÇn=9.5%)</t>
  </si>
  <si>
    <t>Nh©n c«ng trùc - thêi gian kh¾c phôc</t>
  </si>
  <si>
    <t>VËn chuyÓn ®Êt ®æ ®i 2Km, ®c3</t>
  </si>
  <si>
    <t>Líp mãng CP§D lo¹i 1 (Dmax=25mm) líp trªn</t>
  </si>
  <si>
    <t>VËn chuyÓn phÕ th¶i ®æ ®i 2Km</t>
  </si>
  <si>
    <t>AB.42134v2</t>
  </si>
  <si>
    <t>AK.91151</t>
  </si>
  <si>
    <t>S¬n kÎ ®­êng ph.quang mµu vµng dµy 6mm</t>
  </si>
  <si>
    <t>100m</t>
  </si>
  <si>
    <t>*\II- HÖ thèng tho¸t n­íc däc:</t>
  </si>
  <si>
    <t>\1- R·nh tho¸t däc h×nh thang (®æ t¹i chç):</t>
  </si>
  <si>
    <t>\2- Gia cè lÒ theo r·nh däc</t>
  </si>
  <si>
    <t xml:space="preserve">  - Chi phÝ kh¶o s¸t ®Þa h×nh </t>
  </si>
  <si>
    <t>söa ch÷a nÒn mÆt ®­êng</t>
  </si>
  <si>
    <t>tho¸t n­íc däc</t>
  </si>
  <si>
    <t>c«ng t¸c ®¶m b¶o giao th«ng</t>
  </si>
  <si>
    <t>OK</t>
  </si>
  <si>
    <t>§µo mãng g­¬ng cÇu</t>
  </si>
  <si>
    <t>BT mãng M150, ®¸ 2x4</t>
  </si>
  <si>
    <t>AD.32321v</t>
  </si>
  <si>
    <t>Sx, l¾p ®Æt g­¬ng cÇu låi D800mm - inox</t>
  </si>
  <si>
    <t xml:space="preserve">   - G­¬ng cÇu låi D800mm - inox</t>
  </si>
  <si>
    <t>Líp mãng CP§D lo¹i 1 (Dmax=37.5mm)líp d­íi</t>
  </si>
  <si>
    <t>T­íi nhò t­¬ng dÝnh b¸m TC 0.5kg/m2</t>
  </si>
  <si>
    <t>CP§D ®Öm mãng lÒ gia cè</t>
  </si>
  <si>
    <t>\1. T­êng hé lan mÒm</t>
  </si>
  <si>
    <t>\2. S¬n kÎ ®­êng</t>
  </si>
  <si>
    <t>\3. G­¬ng cÇu låi</t>
  </si>
  <si>
    <t>AD.23235.</t>
  </si>
  <si>
    <t>R¶i th¶m BTN C12.5 dµy 7cm</t>
  </si>
  <si>
    <t xml:space="preserve">                  CCHN sè QNG-00036979, do SXD cÊp ngµy 05/9/2018</t>
  </si>
  <si>
    <t>100ha</t>
  </si>
  <si>
    <t>Nh©n c«ng ®iÒu tra, thu thËp sè liÖu+ kh¶o s¸t má vËt liÖu</t>
  </si>
  <si>
    <t>I. Kh¶o s¸t ®Þa h×nh</t>
  </si>
  <si>
    <t>c«ng tr×nh: söa ch÷a h­ háng nÒn, mÆt ®­êng vµ hÖ thèng atgt ®o¹n: km60+500 - km63+750; km69+00 - km69+800; tuyÕn quèc lé 24b - tØnh qu¶ng ng·i.</t>
  </si>
  <si>
    <t>S¶n xuÊt BTN C12.5 (Tr¹m §. Kh¸nh)</t>
  </si>
  <si>
    <t>§µo nÒn, khu«n ®­êng, ®c3</t>
  </si>
  <si>
    <t>*\II- HÖ thång ATGT:</t>
  </si>
  <si>
    <t>Néi dung chi phÝ</t>
  </si>
  <si>
    <t>KÝ hiÖu</t>
  </si>
  <si>
    <t>DiÔn gi¶i c¸ch tÝnh</t>
  </si>
  <si>
    <t>Gi¸ trÞ
tr­íc thuÕ</t>
  </si>
  <si>
    <t>ThuÕ VAT</t>
  </si>
  <si>
    <t>Gi¸ trÞ
sau thuÕ</t>
  </si>
  <si>
    <t>Ng­êi tÝnh</t>
  </si>
  <si>
    <t>Ng­êi chñ tr×</t>
  </si>
  <si>
    <t>§Æng V¨n L©m</t>
  </si>
  <si>
    <t>NguyÔn TÊn Vinh</t>
  </si>
  <si>
    <t>VËn chuyÓn đÊt thõa + phÕ th¶i ®æ ®i 2Km, ®c3</t>
  </si>
  <si>
    <t xml:space="preserve">   - BiÓn TG c¹nh A=87.5cm, dµy 2mm</t>
  </si>
  <si>
    <t xml:space="preserve">   - BiÓn ch÷ nhËt, dµy 2mm</t>
  </si>
  <si>
    <t>*\III- C«ng t¸c ®¶m b¶o giao th«ng trong thi c«ng:</t>
  </si>
  <si>
    <t>tæng hîp kinh phÝ c«ng t¸c ®¶m b¶o giao th«ng</t>
  </si>
  <si>
    <t>AL.15122p</t>
  </si>
  <si>
    <t>AL.15122k</t>
  </si>
  <si>
    <t xml:space="preserve">   - Rä m¹ kÏm (2x1x0.5)m-m¾c (10-12)cm</t>
  </si>
  <si>
    <t>XÕp rä ®¸ - kÏm KT(2x1x0.5)m, m¾c (10x12)</t>
  </si>
  <si>
    <t xml:space="preserve">   - Gç ®Öm khe d·n</t>
  </si>
  <si>
    <t>*\I- NÒn mÆt ®­êng</t>
  </si>
  <si>
    <t>\1- NÒn ®­êng</t>
  </si>
  <si>
    <t xml:space="preserve">   - BiÓn b¸o trßn D90 dµy 2mm</t>
  </si>
  <si>
    <t>Má ®¸ Mü Trang</t>
  </si>
  <si>
    <t>Má ®¸ ThÕ Lîi</t>
  </si>
  <si>
    <t>Má ®¸ B×nh §ª</t>
  </si>
  <si>
    <t>C¸t x©y dùng</t>
  </si>
  <si>
    <t xml:space="preserve">   - C¸t san lÊp - ®Öm</t>
  </si>
  <si>
    <t xml:space="preserve">   - C¸t vµng - lµm BT</t>
  </si>
  <si>
    <t>Má c¸t Th«n 6 - NghÜa Dòng</t>
  </si>
  <si>
    <t>Má c¸t NghÜa LËp - §øc HiÖp</t>
  </si>
  <si>
    <t>Má c¸t Diªn Niªn - TÞnh S¬n</t>
  </si>
  <si>
    <t>Chän má C¸t</t>
  </si>
  <si>
    <t>Qu¶ng Ng·i, ngµy    th¸ng    n¨m 2022</t>
  </si>
  <si>
    <t>BT n©ng ®Çu cèngM350, ®¸ 1x2</t>
  </si>
  <si>
    <t>Cèt thÐp nèi ®Çu cèng ®k&lt;=10mm</t>
  </si>
  <si>
    <t>\2- M­¬ng ch÷ nh©t qua ®­êng ngang:</t>
  </si>
  <si>
    <t>§µo ®Êt khu«n lÒ gia cè</t>
  </si>
  <si>
    <t>BT n©ng ®Çu cèngM250, ®¸ 1x2</t>
  </si>
  <si>
    <t>Lµm  mãng CP§D lo¹i 1 (Dmax&lt;=25mm)</t>
  </si>
  <si>
    <t>\3- Gia cè lÒ (theo r·nh däc)</t>
  </si>
  <si>
    <t>C¾t khe lÒ ®­êng BTXM</t>
  </si>
  <si>
    <t>1m2</t>
  </si>
  <si>
    <t>VËn chuyÓn ®Êt ®iÒu phèi 0.5km (®µo -&gt; ®¾p)</t>
  </si>
  <si>
    <t>Lu lÌn l¹i nÒn ®­êng K95</t>
  </si>
  <si>
    <t>Tr¸m mèi nèi cèng b»ng v÷a M100</t>
  </si>
  <si>
    <t>§Öm + ®¾t c¸t  th©n cèng</t>
  </si>
  <si>
    <t xml:space="preserve">CP§D ®Öm 2 bªn th©n c«ng vu«ng </t>
  </si>
  <si>
    <t>§Öm c¸t mãng</t>
  </si>
  <si>
    <t>S¬n ®Çu cèng 02 líp mµu tr¾ng</t>
  </si>
  <si>
    <t>Ph¸ dì BT cèng cò</t>
  </si>
  <si>
    <t>BB.11212.</t>
  </si>
  <si>
    <t>AK.94321</t>
  </si>
  <si>
    <t>QuÐt nhùa vµ d¸n bao t¶i (2 líp bao, 3 líp nhùa)</t>
  </si>
  <si>
    <t>AK.94311</t>
  </si>
  <si>
    <t>QuÐt nhùa vµ d¸n bao t¶i (1 líp bao, 2 líp nhùa)</t>
  </si>
  <si>
    <t>B¶ng tÝnh gi¸ vËt liÖu</t>
  </si>
  <si>
    <t>357516*1650/450*0.927*2400/1900</t>
  </si>
  <si>
    <t>§¾p ®Êt phô lÒ ®­êng K95</t>
  </si>
  <si>
    <t>§¾p nÒn nÒn ®­êng ®é chÆt K95</t>
  </si>
  <si>
    <t>§¾p nÒn nÒn ®­êng ®é chÆt K98</t>
  </si>
  <si>
    <t>Má ®¸ An Héi</t>
  </si>
  <si>
    <t>VËn chuyÓn BTN « t« 12T, cù ly TB 42km</t>
  </si>
  <si>
    <t>VËn chuyÓn BTN « t« 12T, cù ly TB 51km</t>
  </si>
  <si>
    <t>VËn chuyÓn BTN « t« 12T, cù ly TB 46km</t>
  </si>
  <si>
    <t>VËn chuyÓn BTN « t« 12T, cù ly TB 33km</t>
  </si>
  <si>
    <t>\1- Söa ch÷a mÆt ®­êng tr­íc khi th¶m</t>
  </si>
  <si>
    <t>Ph¸ dì BT mÆt ®­êng cò h­ háng</t>
  </si>
  <si>
    <t>Lu lÌn l¹i mãng cò</t>
  </si>
  <si>
    <t>\2- Th¶m BTN t¨ng c­êng trªn mÆt ®­êng (kÓ c¶ nót giao)</t>
  </si>
  <si>
    <t>B.t«ng ®an ®Ëy M250, ®¸ 1x2 (lèi vµo nhµ d©n)</t>
  </si>
  <si>
    <t>r·nh tho¸t n­íc däc</t>
  </si>
  <si>
    <t>I- §o¹n Km24+687 - Km25+785 &amp; Km33+030 - Km34+165 (Th¶m BTN)</t>
  </si>
  <si>
    <t>§µo ®Êt mãng rä ®¸, ®c3</t>
  </si>
  <si>
    <t>AL.24221</t>
  </si>
  <si>
    <t>Tr¸m khe co M§ BTXM cò b»ng nhùa ®­êng</t>
  </si>
  <si>
    <t>AL.24222</t>
  </si>
  <si>
    <t>Tr¸m khe gi·n M§ BTXM cò b»ng nhùa ®­êng</t>
  </si>
  <si>
    <t>AL.24223</t>
  </si>
  <si>
    <t>Tr¸m khe däc M§ BTXM cò b»ng nhùa ®­êng</t>
  </si>
  <si>
    <t xml:space="preserve">   * Chi phÝ phôc vô c«ng t¸c KS</t>
  </si>
  <si>
    <t>N©ng gê ch¾n ®Çu cèng</t>
  </si>
  <si>
    <t>N©ng gê ch¾n m­¬ng TND (Km33+685 - Km34+165)</t>
  </si>
  <si>
    <t>BT n©ng gê ch¾n M250, ®¸ 1x2</t>
  </si>
  <si>
    <t>Cèt thÐp gê ch¾n ®k&lt;=10mm</t>
  </si>
  <si>
    <t>Cèt thÐp gê ch¾n ®k&lt;=12mm</t>
  </si>
  <si>
    <t>S¬n gê ch¾n 02 líp mµu tr¾ng - ®á</t>
  </si>
  <si>
    <t>SA.31812</t>
  </si>
  <si>
    <t>Khoan cÊy thÐp (khoan BT lç &lt;=12mm, s©u &lt;=10cm)</t>
  </si>
  <si>
    <t xml:space="preserve">   - Mòi khoan fi12</t>
  </si>
  <si>
    <t xml:space="preserve">Bäc lãt v¶i ®Þa kü thuËt ART25 bªn trong          </t>
  </si>
  <si>
    <t>\4- Gia cè rä ®¸ Km25+310 - Km25+328 &amp; Km25+457:</t>
  </si>
  <si>
    <t>NC4.0/7</t>
  </si>
  <si>
    <t>Bª t«ng r·nh tho¸t n­íc däc M150, ®¸ 1x2</t>
  </si>
  <si>
    <t>AF.13211</t>
  </si>
  <si>
    <t>Nh©n c«ng thèng kª kh¶o s¸t THL</t>
  </si>
  <si>
    <t>S¶n xuÊt bª t«ng nhùa BTN C19 (Tr¹m La Hµ)
(kÓ c¶ KL bï vªnh)</t>
  </si>
  <si>
    <t>Bª t«ng mÆt ®­êng M250, ®¸ 1x2</t>
  </si>
  <si>
    <t>AF.15413</t>
  </si>
  <si>
    <t>DC.02000v3</t>
  </si>
  <si>
    <t>ThÝ nghiÖm 9 chØ tiªu c¬ lý mÉu nguyªn d¹ng</t>
  </si>
  <si>
    <t>Kwh</t>
  </si>
  <si>
    <t xml:space="preserve">   - NhiÖt kÕ</t>
  </si>
  <si>
    <t xml:space="preserve">   - N­íc cÊt</t>
  </si>
  <si>
    <t xml:space="preserve">   - Dao vßng</t>
  </si>
  <si>
    <t xml:space="preserve">   - Amoni hydroxit (NH4OH)</t>
  </si>
  <si>
    <t xml:space="preserve">   - Mì</t>
  </si>
  <si>
    <t xml:space="preserve">   - M¸y hót Èm</t>
  </si>
  <si>
    <t xml:space="preserve">   - C©n ph©n tÝch - c©n kü thuËt</t>
  </si>
  <si>
    <t xml:space="preserve">   - C©n thñy tÜnh</t>
  </si>
  <si>
    <t xml:space="preserve">   - M¸y Giragang</t>
  </si>
  <si>
    <t xml:space="preserve">   - M¸y c¾t ph¼ng</t>
  </si>
  <si>
    <t xml:space="preserve">   - ThiÕt bÞ ®o gãc nghØ tù nhiªn cña ®Êt rêi</t>
  </si>
  <si>
    <t xml:space="preserve">   - ThiÕt bÞ ®o gãc nghØ tù nhiªn cña ®Ê</t>
  </si>
  <si>
    <t>DC.02000v4</t>
  </si>
  <si>
    <t>ThÝ nghiÖm 7 chØ tiªu c¬ lý mÉu kh«ng nguyªn d¹ng</t>
  </si>
  <si>
    <t xml:space="preserve">  - LËp Hå s¬ mêi thÇu vµ ®¸nh gi¸ HSDT XL</t>
  </si>
  <si>
    <t xml:space="preserve">  - Chi phÝ ®o vÏ b¶n ®å phôc vô GPMB</t>
  </si>
  <si>
    <t>Z*10%</t>
  </si>
  <si>
    <t>§µo nÒn, khu«n ®­êng, ®c4</t>
  </si>
  <si>
    <t>Bª t«ng mÆt ®­êng M300, ®¸ 1x2</t>
  </si>
  <si>
    <t>GOKHE</t>
  </si>
  <si>
    <t>Gç lµm khe gi·n</t>
  </si>
  <si>
    <t>AL.16201NL</t>
  </si>
  <si>
    <t>Tr·i líp b¹t nilon d­íi M§</t>
  </si>
  <si>
    <t xml:space="preserve">   - B¹t nilon</t>
  </si>
  <si>
    <t>AF.13414</t>
  </si>
  <si>
    <t>B.t«ng th©n cèng &amp; mui luyÖn M300, ®¸ 1x2</t>
  </si>
  <si>
    <t>*\II- Gia cè m¸i taluy</t>
  </si>
  <si>
    <t>nÒn, mÆt ®­êng btxm</t>
  </si>
  <si>
    <t>gia cè m¸I taluy ©m</t>
  </si>
  <si>
    <t>\3- Tho¸t n­íc däc (r·nh däc h×nh thang)</t>
  </si>
  <si>
    <t>c«ng tr×nh: ®­êng quèc lé 24 ®I gß panu</t>
  </si>
  <si>
    <t>\2- Gia cè m¸i taluy ©m</t>
  </si>
  <si>
    <t xml:space="preserve">  - Chi phÝ lËp BC nghiªn cøu kh¶ thi</t>
  </si>
  <si>
    <t xml:space="preserve">  - Chi phÝ thiÕt kÕ BVTC</t>
  </si>
  <si>
    <t>b¶ng kh¸I to¸n chi phÝ</t>
  </si>
  <si>
    <t>\7- CÇu dÇm D¦L L=2x18=36m - Km3+900</t>
  </si>
  <si>
    <t>\8- HÖ thèng ATGT (THL + cäc tiªu):</t>
  </si>
  <si>
    <t>AF.15414tp</t>
  </si>
  <si>
    <t>AF.15413tp</t>
  </si>
  <si>
    <t>Bª t«ng mÆt ®­êng M300, ®¸ 1x2 (BT th­¬ng phÈm)</t>
  </si>
  <si>
    <t>Bª t«ng mÆt ®­êng M250, ®¸ 1x2 (BT th­¬ng phÈm)</t>
  </si>
  <si>
    <t xml:space="preserve">   - Bª t«ng M300 ®é sôt (2-4)cm</t>
  </si>
  <si>
    <t xml:space="preserve">   - Bª t«ng M250 ®é sôt (2-4)cm</t>
  </si>
  <si>
    <t>Gi¸ Th¸ng
7/2022</t>
  </si>
  <si>
    <t>L¾p ®Æt èng cèng D100</t>
  </si>
  <si>
    <t>BB.11214.</t>
  </si>
  <si>
    <t>L¾p ®Æt èng cèng D150</t>
  </si>
  <si>
    <t>L¾p ®Æt èng cèng vu«ng (100x100)cm</t>
  </si>
  <si>
    <t>BB.12101.</t>
  </si>
  <si>
    <t>Bª t«ng gê, hè tiªu n¨ng M150 ®¸ 2x4</t>
  </si>
  <si>
    <t>AB.25124</t>
  </si>
  <si>
    <t>§µo ®Êt mãng cèng + kh¬i dßng, ®c4</t>
  </si>
  <si>
    <t>§µo ®Êt mãng cèng + kh¬i dßng, ®c3</t>
  </si>
  <si>
    <t>Ph¸ ®¸ mãng m¸y ®µo 1.25m3 g¾n hµm kÑp</t>
  </si>
  <si>
    <t>Bª t«ng mãng cèng M150, ®¸ 2x4</t>
  </si>
  <si>
    <t>Bª t«ng b¶n dÉn M300, ®¸ 1x2</t>
  </si>
  <si>
    <t>Bª t«ng gê ch¾n M300, ®¸ 1x2</t>
  </si>
  <si>
    <t>Bª t«ng t­êng M150, ®¸ 2x4</t>
  </si>
  <si>
    <t>§µo ®Êt mãng ch©n khay, ®c3</t>
  </si>
  <si>
    <t xml:space="preserve">§µo ®Êt mãng cèng t¹m, ®c3 </t>
  </si>
  <si>
    <t>§µo ®Êt mãng cèng hép, ®c3</t>
  </si>
  <si>
    <t>BB.11212t</t>
  </si>
  <si>
    <t>Th¸o dì èng cèng D100</t>
  </si>
  <si>
    <t>\2. B¶n dÉn (3x3x0.25)m:</t>
  </si>
  <si>
    <t>\5. Gia cè m¸i</t>
  </si>
  <si>
    <t>\ 6. Khèi l­îng thi c«ng</t>
  </si>
  <si>
    <t>*\III- Cèng trßn - vu«ng c¸c lo¹i</t>
  </si>
  <si>
    <t>§µo xóc ®Êt lªn xe vËn chuyÓn (®Êt ®µo nÒn ®­êng)</t>
  </si>
  <si>
    <t>VËn chuyÓn ®Êt ®¾p tb ~ 2Km, ®c3</t>
  </si>
  <si>
    <t>\ 7. C¸c môc kh¸c</t>
  </si>
  <si>
    <t>AF.12213</t>
  </si>
  <si>
    <t>Bª t«ng cét thuû chÝ M200, ®¸ 1x2</t>
  </si>
  <si>
    <t>AF.61411</t>
  </si>
  <si>
    <t>Gia c«ng cèt thÐp cét thuû chÝ §K&lt;=10mm</t>
  </si>
  <si>
    <t>AF.61421</t>
  </si>
  <si>
    <t>Gia c«ng cèt thÐp cét thuû chÝ §K&lt;=18mm</t>
  </si>
  <si>
    <t>*\IV. Cèng hép H(2.5x2.5)m -Km0+520.45</t>
  </si>
  <si>
    <t>*\IV. Cèng hép H4x(3x2.5)m -Km2+755.58</t>
  </si>
  <si>
    <t>Bª t«ng ch©n khay M150, ®¸ 2x4</t>
  </si>
  <si>
    <t>§µo mãng biÓn b¸o</t>
  </si>
  <si>
    <t>BT mãng biÓn b¸o M150, ®¸ 2x4</t>
  </si>
  <si>
    <t>\4- Cèng hép (2.5x2.5)m - Km0+520.45</t>
  </si>
  <si>
    <t>cèng hép
(2.5x2.5)m
km0+520.45</t>
  </si>
  <si>
    <t>cèng hép
4x(3x2.5)m
km2+755.58</t>
  </si>
  <si>
    <t>AB.54141v2</t>
  </si>
  <si>
    <t>VËn chuyÓn ®¸ ®æ ®i 2Km</t>
  </si>
  <si>
    <t>Bª t«ng mèi nèi cèng vu«ng M250, ®¸ 1x2</t>
  </si>
  <si>
    <t>Gia c«ng cèt thÐp mèi nèi ®k &lt;=10mm</t>
  </si>
  <si>
    <t>Bª t«ng hoµn tr¶ mÆt ®­êng M300, ®¸ 1x2</t>
  </si>
  <si>
    <t>Lµm mãng CP§D lo¹i 1 (Dmax&lt;=25mm)</t>
  </si>
  <si>
    <t>V÷a M100 chÝt mèi nèi</t>
  </si>
  <si>
    <t>AB.41433</t>
  </si>
  <si>
    <t>VËn chuyÓn ®Êt ®Ó ®¾p trung b×nh ~1Km, ®c3</t>
  </si>
  <si>
    <t>Xóc ®Êt lªn xe vËn chuyÓn ®Ó ®¾p (tËn dông ®Êt ®µo)</t>
  </si>
  <si>
    <t>VËn chuyÓn ®Êt ®¾p tb ~1Km, ®c3</t>
  </si>
  <si>
    <t>VËn chuyÓn ®Êt thõa ®æ ®i 1Km, ®c3</t>
  </si>
  <si>
    <t>VËn chuyÓn đÊt thõa + phÕ th¶i ®æ ®i 1Km, ®c3</t>
  </si>
  <si>
    <t>AB.41434</t>
  </si>
  <si>
    <t>C¾t mÆt ®­êng BTXM vÞ trÝ gi¸p mèi c¸c ®o¹n söa ch÷a</t>
  </si>
  <si>
    <t>Bª t«ng r·nh däc +gê tiªu n¨ng M150, ®¸ 2x4</t>
  </si>
  <si>
    <t>§µo ®Êt t¹o khu«n r·nh, ®c3</t>
  </si>
  <si>
    <t>VËn chuyÓn ®Êt ®æ ®i TB 1Km</t>
  </si>
  <si>
    <t>Bª t«ng m¸i M150, ®¸ 2x4</t>
  </si>
  <si>
    <t>CH.11140c</t>
  </si>
  <si>
    <t>§o vÏ mÆt c¾t däc ®­êng cò trªn c¹n, §H cÊp IV</t>
  </si>
  <si>
    <t>§o vÏ mÆt c¾t ngang trªn c¹n, §H cÊp IV</t>
  </si>
  <si>
    <t>§Æng V¨n l©m</t>
  </si>
  <si>
    <t>CCHN sè QNG-00036979, do SXD cÊp ngµy 05/9/2018</t>
  </si>
  <si>
    <t>\6- Cèng tho¸t n­íc ngang c¸c lo¹i (19 c¸i)</t>
  </si>
  <si>
    <t>\5- Cèng hép 4x(3x2.5) - Km2+755.58</t>
  </si>
  <si>
    <t>Ph¸ ®¸ nÒn ®­êng = m¸y ®µo g¾n bóa TL, ®¸ cÊp III</t>
  </si>
  <si>
    <t>AB.53441</t>
  </si>
  <si>
    <t>VËn chuyÓn ®¸ ®æ ®i ~1Km</t>
  </si>
  <si>
    <t>\1- NÒn, mÆt ®­êng BTXM Km0-Km3+887</t>
  </si>
  <si>
    <t>Xã Ba Vì</t>
  </si>
  <si>
    <t>Xã Ba Điền</t>
  </si>
  <si>
    <t>Xã Ba Cung</t>
  </si>
  <si>
    <t>Xã Ba Liên</t>
  </si>
  <si>
    <t>Xã Ba Ngạc</t>
  </si>
  <si>
    <t>Xã Ba Dinh</t>
  </si>
  <si>
    <t>Xã Ba Tô</t>
  </si>
  <si>
    <t>Thị xã Đức Phổ</t>
  </si>
  <si>
    <t>Xã Phổ An</t>
  </si>
  <si>
    <t>Xã Phổ Khánh</t>
  </si>
  <si>
    <t>Xã Phổ Nhơn</t>
  </si>
  <si>
    <t>Xã Phổ Cường</t>
  </si>
  <si>
    <t>Xã Phổ Thuận</t>
  </si>
  <si>
    <t>Tên tuyến đường, đoạn đường hỗ trợ xi măng</t>
  </si>
  <si>
    <t>Cấp đường
 thực hiện</t>
  </si>
  <si>
    <t>Địa điểm tiếp nhận xi măng</t>
  </si>
  <si>
    <t>Đầu tuyến</t>
  </si>
  <si>
    <t>D</t>
  </si>
  <si>
    <t>Xã Phổ Phong</t>
  </si>
  <si>
    <t>Xã Ba Động</t>
  </si>
  <si>
    <t>Xã Ba Thành</t>
  </si>
  <si>
    <t>Xã Ba Tiêu</t>
  </si>
  <si>
    <t>Xã Ba Bích</t>
  </si>
  <si>
    <t>Xã Ba Giang</t>
  </si>
  <si>
    <t>2,5m</t>
  </si>
  <si>
    <t>2m</t>
  </si>
  <si>
    <t>3m</t>
  </si>
  <si>
    <t>2 m</t>
  </si>
  <si>
    <t>2,5 m</t>
  </si>
  <si>
    <t>Xã Ba Vinh</t>
  </si>
  <si>
    <t>Xã Ba Xa</t>
  </si>
  <si>
    <t>Xã Ba Lế</t>
  </si>
  <si>
    <t>Xã Ba Trang</t>
  </si>
  <si>
    <t>Tuyến đường vào xóm nhà ông Huỳnh Hữu Thắng thuộc thôn Trường An</t>
  </si>
  <si>
    <t>Tuyến đường vào xóm nhà ông Nguyễn Văn Đặng thuộc thôn Suối Loa</t>
  </si>
  <si>
    <r>
      <t xml:space="preserve">Chiều dài </t>
    </r>
    <r>
      <rPr>
        <i/>
        <sz val="12"/>
        <rFont val="Times New Roman"/>
        <family val="1"/>
      </rPr>
      <t>(m)</t>
    </r>
  </si>
  <si>
    <r>
      <t xml:space="preserve">Khối lượng 
xi măng </t>
    </r>
    <r>
      <rPr>
        <i/>
        <sz val="12"/>
        <rFont val="Times New Roman"/>
        <family val="1"/>
      </rPr>
      <t>(tấn)</t>
    </r>
  </si>
  <si>
    <t>ok</t>
  </si>
  <si>
    <t>85.1</t>
  </si>
  <si>
    <t>85.2</t>
  </si>
  <si>
    <t>85.3</t>
  </si>
  <si>
    <t>85.4</t>
  </si>
  <si>
    <t>86.1</t>
  </si>
  <si>
    <t>86.2</t>
  </si>
  <si>
    <t>87.1</t>
  </si>
  <si>
    <t>87.2</t>
  </si>
  <si>
    <t>87.3</t>
  </si>
  <si>
    <t>88.1</t>
  </si>
  <si>
    <t>88.2</t>
  </si>
  <si>
    <t>90.1</t>
  </si>
  <si>
    <t>90.2</t>
  </si>
  <si>
    <t>90.3</t>
  </si>
  <si>
    <t>90.4</t>
  </si>
  <si>
    <t>90.5</t>
  </si>
  <si>
    <t>90.6</t>
  </si>
  <si>
    <t>90.7</t>
  </si>
  <si>
    <t>90.8</t>
  </si>
  <si>
    <t>91.1</t>
  </si>
  <si>
    <t>91.2</t>
  </si>
  <si>
    <t>91.3</t>
  </si>
  <si>
    <t>91.4</t>
  </si>
  <si>
    <t>91.5</t>
  </si>
  <si>
    <t>91.6</t>
  </si>
  <si>
    <t>91.7</t>
  </si>
  <si>
    <t>91.8</t>
  </si>
  <si>
    <t>91.9</t>
  </si>
  <si>
    <t>91.10</t>
  </si>
  <si>
    <t>92.1</t>
  </si>
  <si>
    <t>92.2</t>
  </si>
  <si>
    <t>92.3</t>
  </si>
  <si>
    <t>92.4</t>
  </si>
  <si>
    <t>92.5</t>
  </si>
  <si>
    <t>92.6</t>
  </si>
  <si>
    <t>93.1</t>
  </si>
  <si>
    <t>93.2</t>
  </si>
  <si>
    <t>93.3</t>
  </si>
  <si>
    <t>93.4</t>
  </si>
  <si>
    <t>93.5</t>
  </si>
  <si>
    <t>94.1</t>
  </si>
  <si>
    <t>94.2</t>
  </si>
  <si>
    <t>94.3</t>
  </si>
  <si>
    <t>94.4</t>
  </si>
  <si>
    <t>94.5</t>
  </si>
  <si>
    <t>94.6</t>
  </si>
  <si>
    <t>94.7</t>
  </si>
  <si>
    <t>94.8</t>
  </si>
  <si>
    <t>94.9</t>
  </si>
  <si>
    <t>94.10</t>
  </si>
  <si>
    <t>94.11</t>
  </si>
  <si>
    <t>94.12</t>
  </si>
  <si>
    <t>94.13</t>
  </si>
  <si>
    <t>94.14</t>
  </si>
  <si>
    <t>94.15</t>
  </si>
  <si>
    <t>94.16</t>
  </si>
  <si>
    <t>94.17</t>
  </si>
  <si>
    <t>94.18</t>
  </si>
  <si>
    <t>94.19</t>
  </si>
  <si>
    <t>94.20</t>
  </si>
  <si>
    <t>94.21</t>
  </si>
  <si>
    <t>94.22</t>
  </si>
  <si>
    <t>94.23</t>
  </si>
  <si>
    <t>94.24</t>
  </si>
  <si>
    <t>94.25</t>
  </si>
  <si>
    <t>94.26</t>
  </si>
  <si>
    <t>94.27</t>
  </si>
  <si>
    <t>94.28</t>
  </si>
  <si>
    <t>95.1</t>
  </si>
  <si>
    <t>95.2</t>
  </si>
  <si>
    <t>95.3</t>
  </si>
  <si>
    <t>95.4</t>
  </si>
  <si>
    <t>95.5</t>
  </si>
  <si>
    <t>95.6</t>
  </si>
  <si>
    <t>96.1</t>
  </si>
  <si>
    <t>97.1</t>
  </si>
  <si>
    <t>97.2</t>
  </si>
  <si>
    <t>102.1</t>
  </si>
  <si>
    <t>102.2</t>
  </si>
  <si>
    <t>102.3</t>
  </si>
  <si>
    <t>102.4</t>
  </si>
  <si>
    <t>102.5</t>
  </si>
  <si>
    <t>Ghi chú</t>
  </si>
  <si>
    <t>90.9</t>
  </si>
  <si>
    <t>90.10</t>
  </si>
  <si>
    <t>90.11</t>
  </si>
  <si>
    <t>90.12</t>
  </si>
  <si>
    <t>90.13</t>
  </si>
  <si>
    <t>Xã Trà Lâm</t>
  </si>
  <si>
    <t>Tuyến đường từ nhà ông tôn đến nhà ông Lý thôn Gò Năng</t>
  </si>
  <si>
    <t>Tuyến đường từ nhà ông Phạm Văn Tùng đến nhà ông Phạm Văn Nhỉ thôn Gò Năng</t>
  </si>
  <si>
    <t>Tuyến đường từ QL2 4đến Mã năng thôn Gò Năng</t>
  </si>
  <si>
    <t>Tuyến đường từ QL 24  đến nhà ông Phạm Văn Tầm thôn Gò Năng</t>
  </si>
  <si>
    <t>Tuyến đường từ nhà ông Tộng đến nhà ông Thiết thôn Nước Ui</t>
  </si>
  <si>
    <t>Tuyến đường từ Ao cá  đến nhà ông Bỏ thôn Nước Ui</t>
  </si>
  <si>
    <t>Tuyến đường từ nhà bà Tiêu đến nhà ông bà Tin thôn Gò Năng</t>
  </si>
  <si>
    <t>Tuyến đường từ nhà  ông Phạm Văn Hoắc đến nhà bà Phạm Văn Dách thôn Nước Xuyên</t>
  </si>
  <si>
    <t>Tuyến đường từ nhà  ông Phạm Văn Tương đến nhà bà Phạm Văn Quê thôn Nước Xuyên</t>
  </si>
  <si>
    <t>Tuyến đường từ nhà  đường Ba Vì-Ba Xa đến nhà bà Phạm Văn Sỹ thôn Nước Xuyên</t>
  </si>
  <si>
    <t>Tuyến đường từ nhà  ông Phạm Văn Hơ đến nhà bà Phạm Văn Thang thôn Nước Xuyên</t>
  </si>
  <si>
    <t>Tuyến đường từ nhà  ông Phạm Văn Thái đến nhà bà Phạm Văn Trung thôn Nước Xuyên</t>
  </si>
  <si>
    <t>Tuyến đường từ nhà  ông Phạm Văn Mâng đến nhà bà Phạm Văn Thôi thôn Nước Xuyên</t>
  </si>
  <si>
    <t>Từ nhà ông Đá đến nhà ông Hương</t>
  </si>
  <si>
    <t>Từ nhà ông Đẻ đến nhà ông Hỏi</t>
  </si>
  <si>
    <t>Từ nhà ông Ênh đến nhà ông Việt</t>
  </si>
  <si>
    <t>Từ nhà ông Đếch đến nhà ông Trôn</t>
  </si>
  <si>
    <t>Tuyến từ nhà ông Đẻo đến nhà ông Tron (Thôn Gò Nghênh)</t>
  </si>
  <si>
    <t>Tuyến nhà ông Teo (Làng Tương)</t>
  </si>
  <si>
    <t>Tuyến nhà ông Thanh (Làng Tương)</t>
  </si>
  <si>
    <t>Tuyến nhà ông Điền (Làng Tương)</t>
  </si>
  <si>
    <t>Tuyến từ nhà ông Đẻ đến nhà ông Hoi (Hy Long)</t>
  </si>
  <si>
    <t>Tuyến từ ĐT624 đến nhà ông Điên (Hy Long)</t>
  </si>
  <si>
    <t>Tuyến từ ĐT624 đến nhà ông Bần (Hy Long)</t>
  </si>
  <si>
    <t>Tuyến từ Gò Nghênh đi Hy Long (Hy Long)</t>
  </si>
  <si>
    <t>Tuyến từ Hy Long đi nhà bà Lan (Hy Long)</t>
  </si>
  <si>
    <t>Tuyến Nhà ông Siêng đi Gò Vi (Làng Rêu)</t>
  </si>
  <si>
    <t>Tuyến nhà ông Đá (Làng Rêu)</t>
  </si>
  <si>
    <t>Tuyến nhà ông Thoát (Làng Rêu)</t>
  </si>
  <si>
    <t>Tuyến nhà Ba Đế (Làng Rêu)</t>
  </si>
  <si>
    <t>Tuyến nhà ông Dố (Làng Rêu)</t>
  </si>
  <si>
    <t>Từ nhà ông Đơn đến nhà ông Tái (Gò Ngênh)</t>
  </si>
  <si>
    <t>Tuyến nhà bà Minh – Sông Re (Thôn Krên)</t>
  </si>
  <si>
    <t>Tuyến nhà ông Trách – Nhà ông Mét (Thôn Krên)</t>
  </si>
  <si>
    <t>Tuyến nhà bà Dõ – Nhà ông PaLon (Thôn Krên)</t>
  </si>
  <si>
    <t>Tuyến nhà ông Chẻa – Nhà ông Rưởi (Thôn Krên)</t>
  </si>
  <si>
    <t>Tuyến nhà ông Tại – Nhà ông Triệu (Thôn Krên)</t>
  </si>
  <si>
    <t>Tuyến nhà ông Thật – Ruộng ông Đơ (Thôn Krên)</t>
  </si>
  <si>
    <t>Tuyến nhà ông Mét – Nhà ông Xêu (Thôn Krên)</t>
  </si>
  <si>
    <t>Tuyến nhà ông Boi – Nhà ông KDân (Thôn Krên)</t>
  </si>
  <si>
    <t>Tuyến nhà ông Dao– Nhà ông Tim (Thôn Krên)</t>
  </si>
  <si>
    <t>Tuyến nhà ông Giấy – Nhà ông Tỏi (Thôn Krên)</t>
  </si>
  <si>
    <t>Tuyến nhà ông Tang – Nhà bà Râng (Thôn Krên)</t>
  </si>
  <si>
    <t>Tuyến nhà bà Ý – Nhà bà Dã (Thôn Nước Lầy)</t>
  </si>
  <si>
    <t>Tuyến nhà ông Trước – Nhà ông ADoang (Thôn Nước Lầy)</t>
  </si>
  <si>
    <t>Tuyến nhà ông Nen – Nhà ông Ó (Thôn Ta Noát)</t>
  </si>
  <si>
    <t>Tuyến nhà ông Riệt – Nhà ông Khốt (Thôn Ta Noát)</t>
  </si>
  <si>
    <t>Tuyến nhà Dãy – Nhà ông Phinh (Thôn Ta Noát)</t>
  </si>
  <si>
    <t>Tuyến nhà ông Tôm– Nhà ông O (Thôn Ta Noát)</t>
  </si>
  <si>
    <t>Tuyến nhà ông Bình – Nhà ông Ý (Thôn Ta Noát)</t>
  </si>
  <si>
    <t>Tuyến QL 24B – Nhà ông Đơn (Thôn Ta Noát)</t>
  </si>
  <si>
    <t>Tuyến QL 24B – Nhà bà Răng (Thôn Ba Lăng)</t>
  </si>
  <si>
    <t>Tuyến đường xã – Nhà ông Vầng (Thôn Ba Lăng)</t>
  </si>
  <si>
    <t>Tuyến Nhà bà Thơm – Nhà ông Thìa (Thôn Ba Lăng)</t>
  </si>
  <si>
    <t>Tuyến cầu Nước Mắt – Nhà ông KLễ (Thôn Ba Lăng)</t>
  </si>
  <si>
    <t>Tuyến đường vào nhà ông Chỉ thôn Làng Măng</t>
  </si>
  <si>
    <t>Tuyến đường vào nhà ông Phân thôn Làng Măng</t>
  </si>
  <si>
    <t>Tuyến đường vào nhà ông Sơn thôn Làng Măng</t>
  </si>
  <si>
    <t>Tuyến QL 24 đi tổ 1 Tà Diêu thôn Làng Măng</t>
  </si>
  <si>
    <t>Tuyến đường vào nhà ông Phiên thôn Làng Măng</t>
  </si>
  <si>
    <t>Tuyến đường vào nhà ông Xốt thôn Làng Măng</t>
  </si>
  <si>
    <t>Tuyến đường vào nhà ông Manh thôn Kà La</t>
  </si>
  <si>
    <t>Tuyến đường vào nhà ông Tốt thôn Kà La</t>
  </si>
  <si>
    <t>Tuyến đường vào nhà ông Chun tổ 7 thôn Kà La</t>
  </si>
  <si>
    <t>Tuyến đường vào nhà ông Dung thôn Kà La</t>
  </si>
  <si>
    <t>Tuyến QL 24 đi tổ 2 thôn Nước Lang</t>
  </si>
  <si>
    <t>Tuyến QL 24 đi Trường tiểu học Ba Dinh</t>
  </si>
  <si>
    <t>Từ QL24 đến nhà bà Ơm (Thôn Mang Lùng I)</t>
  </si>
  <si>
    <t>Từ QL24 đến nhà ông Nhách (Thôn Mang Lùng I)</t>
  </si>
  <si>
    <t>Từ QL24 đến nhà ông Đoàn (Thôn Mang Lùng I)</t>
  </si>
  <si>
    <t>Từ ĐBTXM Nước Mũi đến nhà bà Chổ (Thôn Mang Lùng I)</t>
  </si>
  <si>
    <t>Từ ĐBTXM Nước Mũi đến nhà bà Vi (Thôn Mang Lùng I)</t>
  </si>
  <si>
    <t xml:space="preserve">Từ ĐBTXM Nước Mũi đến nhà ông Nừng (Thôn Mang Lùng I) </t>
  </si>
  <si>
    <t>Từ QL24 đến nhà ông Suôi (Thôn Mang Lùng I)</t>
  </si>
  <si>
    <t>Từ đường BTXM đến nhà bà Gúa (Thôn Mang Lùng I)</t>
  </si>
  <si>
    <t>Từ BTXM đến nhà ông Từng (Thôn Mang Lùng I)</t>
  </si>
  <si>
    <t>Nối tiếp từ ĐBTXM đến nhà ông Đen và nhà ông Thi (Thôn Mang
 Lùng II)</t>
  </si>
  <si>
    <t>Từ nhà ông Ty đến nhà ông Chớt và ông Gấp (Thôn Mang Lùng II)</t>
  </si>
  <si>
    <t>Từ đường BTXM đến nhà ông Chum (Thôn Mang Lùng II)</t>
  </si>
  <si>
    <t>Đường vào nhà bà Viêm (Thôn Mang Lùng II)</t>
  </si>
  <si>
    <t>Từ đường BTXM đến nhà ông Mai (Thôn Mang Lùng II)</t>
  </si>
  <si>
    <t>Từ đường BTXM đến nhà Thìn (Thôn Mang Lùng II)</t>
  </si>
  <si>
    <t>Từ QL24 đến nhà ông Phạm Văn Hòa (Thôn Trà Nô)</t>
  </si>
  <si>
    <t>Từ QL24 đến nhà ông Phạm Văn Hốt (Thôn Trà Nô)</t>
  </si>
  <si>
    <t>Từ đường BTXM đến nhà ông Phạm Văn Lanh (Thôn Trà Nô)</t>
  </si>
  <si>
    <t>Từ đường BTXM đến nhà ông Phạm Văn Trâm (Thôn Trà Nô)</t>
  </si>
  <si>
    <t>Từ đường BTXM đến nhà ông Phạm Văn Chín (Thôn Trà Nô)</t>
  </si>
  <si>
    <t>Từ đường BTXM đến nhà Bà Phạm Thị Đò (Thôn Trà Nô)</t>
  </si>
  <si>
    <t>Từ đường BTXM đến nhà ông Phạm Văn Đun (Thôn Trà Nô)</t>
  </si>
  <si>
    <t>Đường nội bộ xóm Nước Kon (Thôn Trà Nô)</t>
  </si>
  <si>
    <t>Từ đường BTXM đến nhà ông Khoan (Thôn Trà Nô)</t>
  </si>
  <si>
    <t>Từ đường BTXM đến nhà Nhứt và ông Guốt (Thôn Trà Nô)</t>
  </si>
  <si>
    <t>Từ đường BTXM đến nhà ông Qúi và ông Say (Thôn Làng Mạ)</t>
  </si>
  <si>
    <t>Từ đường BTXM đến nhà ông Theo (Thôn Làng Mạ)</t>
  </si>
  <si>
    <t>Từ đường BTXM Rộc Măng đến nhà ông Hiêu (Thôn Làng Mạ)</t>
  </si>
  <si>
    <t>Từ đường BTXM Rộc Măng đến nhà ông Sí (Thôn Làng Mạ)</t>
  </si>
  <si>
    <t>Từ đường BTXM vào xóm Ka Nin (Thôn Làng Mạ)</t>
  </si>
  <si>
    <t>Từ đường BTXM đến nhà ông Dơ (Thôn Làng Xi I)</t>
  </si>
  <si>
    <t>Từ đường BTXM đến nhà ông Sung (Thôn Làng Xi I)</t>
  </si>
  <si>
    <t>Từ đường BTXM đến nhà bà Ít (Thôn Làng Xi I)</t>
  </si>
  <si>
    <t>Từ đường BTXM đến nhà ông Kim (Thôn Làng Xi I)</t>
  </si>
  <si>
    <t>Đường nội bộ xóm Ra Póc (Thôn Làng Xi I)</t>
  </si>
  <si>
    <t>Từ đường BTXM đến nhà ông Tý (Thôn Làng Xi I)</t>
  </si>
  <si>
    <t>Từ đường BTXM đến nhà ông Hái (Thôn Làng Xi I)</t>
  </si>
  <si>
    <t>Đường từ nhà ông Thuông đến nhà bà Linh (Thôn Làng Xi II)</t>
  </si>
  <si>
    <t>Đường từ nhà ôngChu đến nhà ông Hút (Thôn Làng Xi II)</t>
  </si>
  <si>
    <t>Đường từ nhà ông Anh (Thôn Làng Xi II)</t>
  </si>
  <si>
    <t>Đường từ nhà ông Kích (Thôn Làng Xi II)</t>
  </si>
  <si>
    <t>Đường từ nhà ông Doách và ông Ke (Thôn Làng Xi II)</t>
  </si>
  <si>
    <t>Đường từ nhà ôngThuông đến nhà ông Tâm (Thôn Làng Xi II)</t>
  </si>
  <si>
    <t>Đường từ nhà ông Vích (Thôn Làng Xi II)</t>
  </si>
  <si>
    <t>Đường từ nhà ông Pha (Thôn Làng Xi II)</t>
  </si>
  <si>
    <t>Đường vào xóm Gò Chố (Thôn Làng Xi II)</t>
  </si>
  <si>
    <t>Từ đường BTXM vào nhà Phạm Văn Đức (Thôn Mô Lang)</t>
  </si>
  <si>
    <t>Từ đường BTXM vào nhà Phạm Văn Đái (Thôn Mô Lang)</t>
  </si>
  <si>
    <t>Từ đường BTXM vào nhà Phạm Văn Dôn (Thôn Mô Lang)</t>
  </si>
  <si>
    <t>Từ đường QL24 vào nhà Phạm Thị Lâm (Thôn Mô Lang)</t>
  </si>
  <si>
    <t>Từ đường BTM vào nhà Phạm Văn Suy (Thôn Mô Lang)</t>
  </si>
  <si>
    <t>Từ đường BTXM vào nhà Phạm Văn Teo (Thôn Mô Lang)</t>
  </si>
  <si>
    <t>Từ đường BTXM vào nhà Phạm Văn Chép (Thôn Mô Lang)</t>
  </si>
  <si>
    <t>Từ đường BTXM vào nhà Phạm Văn Hoàng (Thôn Mô Lang)</t>
  </si>
  <si>
    <t>Từ đường QL24 vào nhà Phạm Văn Khơi (Thôn Mô Lang)</t>
  </si>
  <si>
    <t>Từ đường BTXM vào nhà Phạm Văn Thanh (Thôn Mô Lang)</t>
  </si>
  <si>
    <t>Từ đường BTXM vào nhà Phạm Thị Á (Thôn Mô Lang)</t>
  </si>
  <si>
    <t>Từ đường QL24 vào nhà Phạm Văn Cách (Thôn Mô Lang)</t>
  </si>
  <si>
    <t>Từ đường QL24 vào nhà Phạm Văn Tánh (Thôn Mô Lang)</t>
  </si>
  <si>
    <t>Từ đường đất vào nhà Phạm Văn Bưm (Thôn Mô Lang)</t>
  </si>
  <si>
    <t>Từ đường đất vào nhà Phạm Văn Trem (Thôn Mô Lang)</t>
  </si>
  <si>
    <t>Từ đường QL24 vào nhà Phạm Thị Đẽ (Thôn Mô Lang)</t>
  </si>
  <si>
    <t>Từ đường QL24 vào nhà ông Phạm Văn Xéo (Thôn Mô Lang)</t>
  </si>
  <si>
    <t>Từ đường BTXM đến nhà ông Hàm (Thôn Mô Lang)</t>
  </si>
  <si>
    <t xml:space="preserve">Tuyến nhà Ông Sói đen đông Va gơi </t>
  </si>
  <si>
    <t>Tuyến từ đường bê tông đến nhà ông Phạm Văn Rệ (thôn Gò Loa - Đồng Xoài)</t>
  </si>
  <si>
    <t>Tuyến từ nhà bà Phạm Thị Gách đến nhà ông Phạm Văn Thanh (thôn Đồng Dâu - Kon Kua)</t>
  </si>
  <si>
    <t xml:space="preserve"> Tuyến từ nhà ông Phạm Văm Ôm đến nhà ông Phạm Văn Lại (thôn Đồng Dâu - Kon Kua)</t>
  </si>
  <si>
    <t xml:space="preserve"> Tuyến từ đường bê tông tới nhà ông Phạm Văn Doi (thôn Gò Rét - Ma Nghít)</t>
  </si>
  <si>
    <t>Tuyến từ đường bê tông tới nhà ông Phạm Văn Hay (thôn Gò Rét - Ma Nghít)</t>
  </si>
  <si>
    <t>Tuyến từ nhà ông Đem đến nhà ông Khai (thôn Làng Giấy - Dốc Mốc)</t>
  </si>
  <si>
    <t xml:space="preserve"> Tuyến từ nhà bà Hạnh đến nhà ông Hải (thôn Làng Giấy - Dốc Mốc)</t>
  </si>
  <si>
    <t>Tuyến từ nhà ông Chanh đến nhà ông Sương (thôn Làng Giấy - Dốc Mốc)</t>
  </si>
  <si>
    <t xml:space="preserve"> Từ nhà ông Đoàn đến nhà ông Sơn (Bửu) (thôn Làng Giấy - Dốc Mốc)</t>
  </si>
  <si>
    <t>Tuyến Từ đường QL24 đi nhà ông Phạm Văn Đậu + Thề</t>
  </si>
  <si>
    <t>Tuyến Từ đường QL24 đi nhà ông Phạm Văn Hương</t>
  </si>
  <si>
    <t xml:space="preserve">Tuyến Từ nhà ông Hiu đi cuối xóm </t>
  </si>
  <si>
    <t>Tuyến từ đường QL24 đi nhà ông Thuộc</t>
  </si>
  <si>
    <t>Tuyến từ nhà bà Thay đến nhà ông Thông</t>
  </si>
  <si>
    <t xml:space="preserve">Tuyến Từ QL24 đi nhà bà Phạm Thị Đưa </t>
  </si>
  <si>
    <t>Tuyến Từ QL24 đi nhà ông Phạm Văn Xố</t>
  </si>
  <si>
    <t>Tuyến từ đường Bê tông đi nhà ông Phạm Văn Thái</t>
  </si>
  <si>
    <t xml:space="preserve">Tuyến từ đường Bê tông đi nhà ông Phạm Văn Sư </t>
  </si>
  <si>
    <t>Tuyến đường đi nghĩa địa xóm Làng Tăng</t>
  </si>
  <si>
    <t>Tuyến đường đi nghĩa địa xóm Bến Buôn</t>
  </si>
  <si>
    <t>Tuyến đường Trục giao thông chính đi UBND xã ( Từ nhà ông Sỹ đến nhà ông Trang)( thôn Làng Teng)</t>
  </si>
  <si>
    <t>Tuyến đường Trục giao thông chính đi UBND xã (Từ nhà 
ông Non đến nhà ông Bụi) (thôn Làng Teng)</t>
  </si>
  <si>
    <t>Tuyến đường Trục giao thông chính đi tổ Đèo Lâm (Từ nhà
 ông Thôi đến nhà bà Đú) (thôn Làng Teng)</t>
  </si>
  <si>
    <t>Tuyến đường Trục giao thông chính đi tổ Đèo Lâm ( Từ nhà
 ông Thơm đến nhà ông Ghí ) (thôn Làng Teng)</t>
  </si>
  <si>
    <t>Tuyến đường Trục giao thông chính đi UBND xã (Từ nhà
 ông Thót đến nhà ông Trân) (thôn Làng Teng)</t>
  </si>
  <si>
    <t>Tuyến đường Trục giao thông chính tổ Kà La ( Từ nhà ông
 In đến nhà ông Kích) (thôn Làng Teng)</t>
  </si>
  <si>
    <t>Tuyến đường Trục giao thông chính tổ Làng Teng ( Từ trục
 bê tông đến Mã Năng) thôn (Làng Teng)</t>
  </si>
  <si>
    <t>Tuyến đường Trục giao thông chính đi UBND xã (Từ nhà
 ông Trung đến Mã Năng tổ Kà La) (thôn Làng Teng)</t>
  </si>
  <si>
    <t>Tuyến Quốc lộ 24 đi tổ Trường An (Từ nhà ông Lem đến 
nhà ông Bôi ) (thôn Trường An)</t>
  </si>
  <si>
    <t>Tuyến Quốc lộ 24 đi tổ Trường An (Từ nhà bà Hải đến nhà
 bà Dung ) (thôn Trường An)</t>
  </si>
  <si>
    <t>Tuyến Quốc lộ 24 đi tổ Trường An (Từ nhà ông Vĩ đến nhà
 bà Lùm ) (thôn Trường An)</t>
  </si>
  <si>
    <t>Tuyến Quốc lộ 24 đi tổ Trường An (Từ nhà ông Tia đến 
nhà ông Thanh ) (thôn Trường An)</t>
  </si>
  <si>
    <t>Tuyến Quốc lộ 24 đi tổ Trường An (Từ nhà ông Bền đến
 nhà ông Đân ) (thôn Trường An)</t>
  </si>
  <si>
    <t>Tuyến Quốc lộ 24 đi tổ Trường An (Từ nhà ông Bụi đến
 nhà ông Thang) (thôn Trường An)</t>
  </si>
  <si>
    <t>Tuyến Quốc lộ 24 đi tổ Trường An (Từ nhà ông Gia đến
 nhà ông SangB ) (thôn Trường An)</t>
  </si>
  <si>
    <t>Tuyến đường BTXM tổ Hóc Kè (Từ nhà ông Bốn Nga đi
 nhà ông Quên ) (thôn Trường An)</t>
  </si>
  <si>
    <t>Tuyến đường BTXM tổ Hóc Kè (Từ ngã ba vườn keo ông
 Khết đến nhà bà Kệ ) (thôn Trường An)</t>
  </si>
  <si>
    <t>Tuyến đường BTXM tổ Hóc Kè (Từ nhà ông Lang đi nhà
 ông Ngăm ) (thôn Trường An)</t>
  </si>
  <si>
    <t>Tuyến đường BTXM tổ Hóc Kè (Từ nhà bà Liệu đi nhà 
ông Đích ) (thôn Trường An)</t>
  </si>
  <si>
    <t>Tuyến đường BTXM tổ Hóc Kè (Từ nhà bà thu đi nhà ông
 Huân) (thôn Trường An)</t>
  </si>
  <si>
    <t>Tuyến đường BTXM tổ Hóc Kè (Từ nhà ông Tréo đi nhà 
ông Dũng) (thôn Trường An)</t>
  </si>
  <si>
    <t>Tuyến đường BTXM trục chính đi Bãi Ri (Từ Trường tiểu
 học Bãi Ri cũ đến nhà ông Truyền)</t>
  </si>
  <si>
    <t>Tuyến đường BTXM trục chính đi NVH thôn (Từ nhà ông 
Đế đi nhà ông Duỗi)</t>
  </si>
  <si>
    <t>Tuyến đường Từ ngã Ba Hành Tín Tây Ba Chùa đi cánh 
đồng Rộc Khoai, thôn Huy Ba II)</t>
  </si>
  <si>
    <t>Tuyến đường nhà bà Tóc đi nhà ông Hiếu (thôn nước Tỉa)</t>
  </si>
  <si>
    <t>Tuyến đường nhà văn hóa đi nhà ông Cư (A) (thôn nước Tỉa)</t>
  </si>
  <si>
    <t>Tuyến đường nhà Ông Vạch đi nhà ông Uông (thôn nước Tỉa)</t>
  </si>
  <si>
    <t>Tuyến đường nhà ông Lốt đi nhà ông Lương (thôn nước Tỉa)</t>
  </si>
  <si>
    <t>Tuyến đường nhà ông Cường đi ra Km 53 (thôn nước Tỉa)</t>
  </si>
  <si>
    <t>Tuyến đường tiếp nối đường giao thông nông thôn đi nhà bà Phạm Thị Hung (thôn Nươc Tỉa)</t>
  </si>
  <si>
    <t>Tuyến đường suối Pả Nu đi nhà ông Be đi (thôn Krầy)</t>
  </si>
  <si>
    <t>Tuyến đường nhà ông Thảo đi nhà ông Thiêu (thôn Krầy)</t>
  </si>
  <si>
    <t>Tuyến đường bê tông nông thôn đi nhà ông Viểu (thôn Krầy)</t>
  </si>
  <si>
    <t>Tuyến đường bê tông nông thôn đi nhà ông Loại (thôn Krầy)</t>
  </si>
  <si>
    <t>Tuyến đường từ nhà ông Gứp đi nhà bà Quê (thôn Mang Biều)</t>
  </si>
  <si>
    <t>Tuyến đường bê tông nông thôn đi nhà ông Huôn (thôn Mang Biều)</t>
  </si>
  <si>
    <t>Tuyến đường nhà ông Lượng đi nhà Bà Sương (thôn Làng Trui)</t>
  </si>
  <si>
    <t>Tuyến đường từ nhà ông Ôí đi nhà bà Hồng (thôn Làng Trui)</t>
  </si>
  <si>
    <t>Tuyến đường từ nhà ông Mã đi nhà ông Nhú</t>
  </si>
  <si>
    <t>Tuyến đường từ nhà ông Chính đi nhà ông Nam</t>
  </si>
  <si>
    <t>Tuyến đường từ nhà ông Tấn Toán đi nhà ông Lếch (thôn Làng Trui)</t>
  </si>
  <si>
    <t>Tuyến đường từ nhà ông Vệ đi nhà ông Đỗ (thôn Làng Trui)</t>
  </si>
  <si>
    <t>Tuyến đường từ nhà ông Xí đi nhà ông Khôn (thôn Làng Trui)</t>
  </si>
  <si>
    <t>Tuyến đường ngõ xóm thôn Con Rã (Đoạn từ Nhà ông Nương đến nhà ông Sân) (Thôn Con Rã)</t>
  </si>
  <si>
    <t>Tuyến đường ngõ xóm thôn Con Rã (Đoạn từ ông Cam đến nhà ông Mênh) (Thôn Con Rã)</t>
  </si>
  <si>
    <t>Tuyến đường ngõ xóm Làng Mâm (Đoạn từ nhà ông Miền đến nhà ông Trin) (Thôn Làng Mâm)</t>
  </si>
  <si>
    <t xml:space="preserve">Tuyến đường ngõ xóm thôn Làng Mâm (Đoạn từ nhà ông Thế đến nhà ông Đốp) (Thôn Làng Mâm) </t>
  </si>
  <si>
    <t>Tuyến đường ngõ xóm thôn Đồng Tiên (Đoạn từ Đường Thị trấn – Nước Đang đến xóm ông Gia) (Thôn Đồng Tiên)</t>
  </si>
  <si>
    <t>Tuyến đường ngõ xóm thôn Nước Đang (Đoạn từ Đường Ba Bích – Ba Nam đến nhà ông Ngập) (Thôn Nước Đang)</t>
  </si>
  <si>
    <t>Tuyến đường ngõ xóm thôn Nước Đang (Đoạn từ Đường Ba Bích –Ba Nam đến nhà ông Lép) (Thôn Nước Đang)</t>
  </si>
  <si>
    <t>Tuyến đường ngõ xóm thôn Nước Đang (Đoạn từ Đường Ba Bích – Ba Nam đến nhà ông Lân) (Thôn Nước Đang)</t>
  </si>
  <si>
    <t>Tuyến đường ngõ xóm thôn Nước Đang (Đoạn từ Đường Ba Bích –Ba Nam đến nhà ông Nhảy) (Thôn Nước Đang)</t>
  </si>
  <si>
    <t>Tuyến đường từ BTXM đến nhà ông Téo</t>
  </si>
  <si>
    <t>Tuyến đường từ BTXM đến nhà ông Bắc</t>
  </si>
  <si>
    <t>Tuyến đường từ BTXM đến nhà ông Một</t>
  </si>
  <si>
    <t>Tuyến đường từ nhà Nước đến nhà ông Nghiễu</t>
  </si>
  <si>
    <t>Tuyến đường từ nhà ông Nghiễu đến nhà ông Kiềng</t>
  </si>
  <si>
    <t>Tuyến đường từ Suối Ra San đến nhà ông Ngữ</t>
  </si>
  <si>
    <t>Tuyến đường từ nhà ông Nó  đến nhà bà Bênh</t>
  </si>
  <si>
    <t>Tuyến đường từ BTXM đến xóm nhà ông Chia</t>
  </si>
  <si>
    <t>Tuyến đường từ BTXM đến nhà ông Ách</t>
  </si>
  <si>
    <t>Tuyến đường từ nhà ông Éo - nhà ông Xóm (xóm Huy Đăng, thôn Làng Huy)</t>
  </si>
  <si>
    <t>Tuyến đường từ nhà ông Rân - nhà ông Dố (xóm Làng Nhĩ, thôn Làng Huy)</t>
  </si>
  <si>
    <t>Tuyến từ đường Nước Lá - Phân Vinh đi xóm Hóc Đô, thôn Hóc Đô</t>
  </si>
  <si>
    <t>Tuyến từ ngã 3 (ba) xóm Làng chũa - Nhà ông Banh (Thôn Nước Nẻ)</t>
  </si>
  <si>
    <t>Tuyến từ đường ĐT624 (Nhà ông Nôn) - Nhà ông Châm (xóm Nước Rong) (Thôn Nước Nẻ)</t>
  </si>
  <si>
    <t>Tuyến từ Nhà ông Banh - Nhà Ông Xê (xóm Làng Chũa) (Thôn Nước Nẻ)</t>
  </si>
  <si>
    <t>Tuyến từ đường ĐT624 - Gò Đun đến nhà ông Dầu (Thôn Nước Y)</t>
  </si>
  <si>
    <t>Tuyến từ Nhà ông Dệ - nhà ông Bẻo (Xóm Gò Năng) (Thôn Nước Y)</t>
  </si>
  <si>
    <t>Tuyến từ đường Mang Thin - Nước Gia đến Nhà văn hóa thôn Cao Muôn (Nước Om cũ) (Thôn Cao Muôn)</t>
  </si>
  <si>
    <t>Tuyến từ đường Mang Thin - Nước Gia (nhà ông Rất) đến nhà ông Hệ (xóm Gò Nĩa) (Thôn Cao Muôn)</t>
  </si>
  <si>
    <t>Tuyến từ nhà bà Đá - nhà ông Hoách (xóm Gò Nĩa) (Thôn Cao Muôn)</t>
  </si>
  <si>
    <t>Tuyến từ đường Mang Thin - Nước Gia (nhà ông Trạch) đến nhà bà Ây (xóm Gò Mít) (Thôn Cao Muôn)</t>
  </si>
  <si>
    <t>Tuyến từ ngã 3 xóm Gò Đun - đến nhà ông Khấu (Thôn Cao Muôn)</t>
  </si>
  <si>
    <t>Tuyến từ ngã 3 nhà ông KRách - Nhà ông Nhách (xóm Gò Đun) (Thôn Cao Muôn)</t>
  </si>
  <si>
    <t>Tuyến từ ngã 3 xóm Gò Đun - đến nhà ông Lúi (Thôn Cao Muôn)</t>
  </si>
  <si>
    <t>Tuyến từ ngã 3 xóm Gò Đun - đến nhà bà Thiêng (Thôn Cao Muôn)</t>
  </si>
  <si>
    <t>Tuyến từ đường Nước Lá - Hang Vọt Rẹp (nhà ông Thét) - nhà ông Ứt (Thôn Ba Lang)</t>
  </si>
  <si>
    <t>Tuyến từ đường Nước Lá - Hang Vọt Rẹp (nhà ông Cát) - nhà ông Vay (Thôn Ba Lang)</t>
  </si>
  <si>
    <t>Tuyến từ nhà ông Vay - nhà ông Thêm (Thôn Ba Lang)</t>
  </si>
  <si>
    <t>Tuyến từ đường Nước Lá - Hang Vọt Rẹp (nhà ông Khênh) - nhà ông Rốt (Thôn Ba Lang)</t>
  </si>
  <si>
    <t>Tuyến từ đường Nước Lá - Hang Vọt Rẹp (nhà ông Nhỉ) - nhà ông Rôm (Thôn Ba Lang)</t>
  </si>
  <si>
    <t>Tuyến từ ngã 3 nhà ông Nhĩ - nhà ông Oát (Thôn Ba Lang)</t>
  </si>
  <si>
    <t>Tuyến từ đường Nước Lá - Hang Vọt Rẹp (nhà ông Ví) - nhà ông Đen (Thôn Ba Lang)</t>
  </si>
  <si>
    <t>Tuyến từ đường Nước Lá - Hang Vọt Rẹp (nhà ông Văn) - nhà ông Đợi</t>
  </si>
  <si>
    <t>Tuyến từ đường Nước Lá - Hang Vọt Rẹp đến  nhà ông Sinh (Thôn Ba Lang)</t>
  </si>
  <si>
    <t>Tuyến từ đường Phân Vinh - Nước Lá đến nhà ông Mót (Thôn Hóc Đô)</t>
  </si>
  <si>
    <t>Tuyến từ ngã 3 xóm Ruộng Nam (nhà ông Đếch) - nhà ông Hình (Thôn Hóc Đô)</t>
  </si>
  <si>
    <t>Tuyến từ ngã 3 xóm Ruộng Nam (nhà ông Đếch) - nhà ông Ôi (Thôn Hóc Đô)</t>
  </si>
  <si>
    <t>Tuyến từ ngã 3 xóm Vả Lăng (Nhà ông Xí) - nhà ông Thoát (Thôn Hóc Đô)</t>
  </si>
  <si>
    <t xml:space="preserve">Tuyến từ ngã 3 xóm Vả Lăng (Nhà ông Xí) - nhà ông Thủy (Thôn Hóc Đô)  </t>
  </si>
  <si>
    <t>tuyến từ ngã 3 xóm Vả Lăng (Nhà ông Xí) - nhà ông Mật (Thôn Hóc Đô)</t>
  </si>
  <si>
    <t>Tuyến từ đường Mang Thin - Nước Gia (nhà ông Trình) đến nhà ông Hinh (xóm Gò Lăng) (Thôn Nước Lui)</t>
  </si>
  <si>
    <t>Tuyến từ đường Mang Thin - Nước Gia đến nhà ông Đềnh (xóm Gò Tú) (Thôn Nước Lui)</t>
  </si>
  <si>
    <t>Tuyến từ đường Mang Thin - Nước Gia (nhà ông Ếp) đến nhà ông Bảy (xóm Nước Lui) (Thôn Nước Lui)</t>
  </si>
  <si>
    <t>Tuyến từ nhà ông Đang (xóm Gò Đập) - Sông Nẻ (Thôn Ba Sơn)</t>
  </si>
  <si>
    <t>Tuyến từ đường ĐT624 - Sông Nẻ (Thôn Ba Sơn)</t>
  </si>
  <si>
    <t>Từ nhà ông Hát -  Nhà ông Cường (thôn Mang Krá)</t>
  </si>
  <si>
    <t>Từ nhà ông Sôi -  Nhà ông Tài (thôn Nước Chạch)</t>
  </si>
  <si>
    <t>Từ suối Nước Chạch-  Nhà ông Dên (thôn Nước Chạch)</t>
  </si>
  <si>
    <t>Từ cầu treo - Nhà ông Nam (Thôn Gòi Hrê)</t>
  </si>
  <si>
    <t>Từ nhà ông Thưm - Nhà ông Đen (Thôn Mang Krá)</t>
  </si>
  <si>
    <t>Từ nhà ông Sân - Suối Nước Như (Thôn Nước Như)</t>
  </si>
  <si>
    <t>Từ nhà ông Xinh - Nhà ông Phiên (Thôn Nước Chạch)</t>
  </si>
  <si>
    <t>Từ đường BTXM - Nhà ông Thước (Thôn Ba Ha)</t>
  </si>
  <si>
    <t>Từ trường Mẫu giáo - Nhà ông Thức (thôn Ba Ha)</t>
  </si>
  <si>
    <t>Từ nhà ông Hẻ - Nhà ông Tín (Thôn Ba Ha)</t>
  </si>
  <si>
    <t>Từ nhà ngã 3 (bà Dắp) - Nhà bà Nút (Thôn Nước Lăng)</t>
  </si>
  <si>
    <t>Từ nhà ông Dốp - Nhà bà Ăng (Thôn Nước Lăng)</t>
  </si>
  <si>
    <t>Đường làng ngõ xóm tổ Tà Lụi</t>
  </si>
  <si>
    <t>Xã Ba Nam</t>
  </si>
  <si>
    <t xml:space="preserve">Nối tiếp tuyến đường Làng Dút đi Mang Tương Km 3 +100 </t>
  </si>
  <si>
    <t>Tuyến đường Làng Vờ ngã ba đi vào xóm nhà ông Phạm Văn Trúc</t>
  </si>
  <si>
    <t>Tuyến nhà ông Nguyễn Út đi nhà ông Nguyễn Lèo (xóm 31) thôn Qui Thiện</t>
  </si>
  <si>
    <t>Tuyến đường nhà ông Phạm Lắc đến nhà ông Nguyễn Hùng</t>
  </si>
  <si>
    <t>Tuyến đường bê tông thôn Vĩnh An đi vào nhà ông Quang</t>
  </si>
  <si>
    <t>Tuyến đường giao thông nông thôn từ nhà ông Trâm đến nhà ông Hiền xóm 5 Diên Trường.</t>
  </si>
  <si>
    <t>Tuyến đường giao thông nông thôn từ đường bê tông đến nhà ông Long xóm 5, Diên Trường</t>
  </si>
  <si>
    <t>Tuyến đường giao thông từ đường bê tông xóm 5, đi đến nhà ông Trớ và nhánh rẽ nhà bà Phượng, thôn Diên Trường</t>
  </si>
  <si>
    <t>Tuyến đường từ nhà ông Dũng đến nhà ông Toàn, xóm 5, thôn Diên Trường</t>
  </si>
  <si>
    <t>Tuyến đường từ nhà ông Bằng đến nhà ông Quân xóm 4, Diên Trường</t>
  </si>
  <si>
    <t>Tuyến giao thông từ nhà bà Tính đến nhà ông Bối xóm 3B, thôn Diên Trường</t>
  </si>
  <si>
    <t xml:space="preserve">Tuyến ruộng bà Nguyễn Thị Sang -  KDC 7 </t>
  </si>
  <si>
    <t>Tuyến Nhà Hồ Ái - Nhà ông Cao Văn Xuyến (giai đoạn 1)</t>
  </si>
  <si>
    <t>Tuyến nhà ông Nhơn - Gò Bác</t>
  </si>
  <si>
    <t>Tuyến nhà ông Nam - Nhà ông Nguyễn Đức Tùng</t>
  </si>
  <si>
    <t>Tuyến nhà Hồ Xuân Mai - Nhà ông Đỗ Ngọc Liên</t>
  </si>
  <si>
    <t>Tuyến nhà ông Bùi Tám - Nhà bà Sự</t>
  </si>
  <si>
    <t>Tuyến nhà bà Phan Thị Bảy - Nhà ông Lưỡng - Nhà ông Gõ</t>
  </si>
  <si>
    <t>Tuyến nhà Trịnh Thị Chân - Tuyến Mỹ Trang-Lâm Bình</t>
  </si>
  <si>
    <t>Tuyến nhà Võ Nhật Khối - Nhà ông Nguyễn Văn My</t>
  </si>
  <si>
    <t>Tuyến từ Sân vận động thôn Bàn Thạch-Đường ĐH 49 (giai đoạn 1)</t>
  </si>
  <si>
    <t>Tuyến đường bê-tông - Nhà ông Nguyễn Văn Triều</t>
  </si>
  <si>
    <t>Tuyến đường xã - Nhà ông Vân (giai đoạn 2)</t>
  </si>
  <si>
    <t>Tuyến nhà bà Thơm- Nhà ông Dương Hiển Thùy</t>
  </si>
  <si>
    <t>Tuyến nhà ông Bốn - Nhà ông Mai Cảng</t>
  </si>
  <si>
    <t>Tuyến Nhà Lại Đình Phi - Cầu ông Pháp</t>
  </si>
  <si>
    <t>Tuyến Nhà ông Phi - Nhà ông Phạm Cần</t>
  </si>
  <si>
    <t>Tuyến nhà bà Hoa - Nhà ông Hà</t>
  </si>
  <si>
    <t xml:space="preserve">Tuyến nhà bà Dung - Nhà Ngô Mây </t>
  </si>
  <si>
    <t>Tuyến Dinh Bà đi nhà bà Đỗ Thị Sơn</t>
  </si>
  <si>
    <t>Tuyến từ nhà ông Bình đi nhà Võ Văn Thanh</t>
  </si>
  <si>
    <t>Tuyến từ nhà Nguyễn Tuấn-Lê Hoàng Nhân -Trần Đầy đi Lê Thị Nhuốt</t>
  </si>
  <si>
    <t>Tuyến từ nhà Đinh Văn Hùng đi nhà ông Đinh Cận</t>
  </si>
  <si>
    <t>Tuyến từ nhà ông Tân đến nhà ông Phan Thường</t>
  </si>
  <si>
    <t xml:space="preserve">Tuyến đường từ nhà ông Võ Qua đi bà Nguyễn Thị Thanh </t>
  </si>
  <si>
    <t>Tuyến từ đường bê tông (NB-Đồi cồ) đi đến nhà ông Huỳnh Hà  ra nhà Huỳnh Văn Lê (xóm 3)</t>
  </si>
  <si>
    <t>Tuyến đường từ nhà Nguyễn Tiến Phúc giáp ngã ba đường Na Liên - Phước Thượng</t>
  </si>
  <si>
    <t>Tuyến từ đường bê tông (NB-Đồi cồ) đi đến nhà ông Phan Thể (xóm 3)</t>
  </si>
  <si>
    <t>Tuyến đường từ nhà Nguyễn Trương đến nhà ông Phan Văn Bình</t>
  </si>
  <si>
    <t>Tuyến đường từ ngã ba nhà bà Nguyệt đến nhà ông 10 Minh (xóm 2)</t>
  </si>
  <si>
    <t>Tuyến dđường từu nhà ông Lương Văn Bảy đến nhà ông Phạm Ngọc Kiệt</t>
  </si>
  <si>
    <t>Tuyến từ đường bê tông (NB-Đồi cồ) nhà bà Đã đến nhà ông Trần Quang Dũng (xóm 3)</t>
  </si>
  <si>
    <t>Tuyến ngã ba từ đường Phước Điền - Bích Chiểu đến nhà ông Đinh Văn Vinh</t>
  </si>
  <si>
    <t>Tuyến từ đường chính của thôn đến nhà ông Nguyễn Thới Danh</t>
  </si>
  <si>
    <t>Tuyến từ đường chính của thôn đến nhà ông Đỗ Quang Đồng</t>
  </si>
  <si>
    <t>Tuyến từ đường chính của thôn đến nhà bà Trần Thị Năm</t>
  </si>
  <si>
    <t>Tuyến từ đường chính của thôn đến nhà ông Nguyễn Tấn Mưu</t>
  </si>
  <si>
    <t>Tuyến từ ngã ba Gò găng đến nhà ông Huỳnh Chánh</t>
  </si>
  <si>
    <t>Tuyến từ đường chính của thôn đến nhà ông Lê Văn Thanh</t>
  </si>
  <si>
    <t>Tuyến từ đường chính của thôn đến nhà ông Phạm Văn Dũng nhà ông Nguyễn văn Sơn</t>
  </si>
  <si>
    <t>Tuyến từ Trường Mẫu Giáo đi nhà bà Thuận (P. Hạ)</t>
  </si>
  <si>
    <t>Tuyến từ nhà Huỳnh Cân đi nhà bà Trong</t>
  </si>
  <si>
    <t>Tuyến từ nhà ông Phạm Thừa  đến nhà ông Nguyễn Văn Cầu</t>
  </si>
  <si>
    <t>Tuyến từ nhà ông Nguyễn Tiến Thu  đến nhà ông Nguyễn Tiến Hung</t>
  </si>
  <si>
    <t>Tuyến từ đường Dốc Đá đi nhà ông Trần Hoàng</t>
  </si>
  <si>
    <t>Tuyến từ đường chính (Trạm xá-Vườn Dinh) đi đến nhà ông Thạch Cảnh Nhơn</t>
  </si>
  <si>
    <t>Tuyến từ nhà ông Dân đến nhà ông Vui</t>
  </si>
  <si>
    <t>Tuyến từ nhà Nguyễn Sơn đến nhà Huỳnh Cu</t>
  </si>
  <si>
    <t>Tuyến từ nhà ông Long đến nhà ông Thơ</t>
  </si>
  <si>
    <t>Tuyến từ nhà Sự đến nhà ông Cường</t>
  </si>
  <si>
    <t>Tuyến từ nhà Khải đến nhà ông Tú</t>
  </si>
  <si>
    <t>Từ ngã bà đường Trần Sâm nhà bà Chốn đi nhà ông Chi</t>
  </si>
  <si>
    <t>Tuyến đường từ nhà ông Tòng đến nhà ông Ảnh</t>
  </si>
  <si>
    <t>Tuyến đường từ Cầu Trắng đội 8 - Nhà ông Nguyến Thành Tâm và nhà ông Lệ</t>
  </si>
  <si>
    <t>Tuyến đường từ nhà ông Phạm Ty - Bờ tràng Thạch Nham</t>
  </si>
  <si>
    <t>Tuyến từ QL1A( Nhà bà Nguyễn Thị Sáu Thành - Giáp kênh N8 pic)</t>
  </si>
  <si>
    <t>Tuyến đường từ Bờ Cao ra Bờ Kỷ</t>
  </si>
  <si>
    <t>Tuyến đường từ đường bê tông đến nhà ông Nguyễn Ngọc Thanh</t>
  </si>
  <si>
    <t>Tuyến đường từ ngõ nhà ông Lữ Ngọc Đoàn - Ngõ nhà bà Lữ Thị Ngữ</t>
  </si>
  <si>
    <t>Tuyến đường từ Ngã ba đường bê tông đến nhà ông Huỳnh Văn Xuân và nhà ông Đại</t>
  </si>
  <si>
    <t>Tuyến đường từ Ngõ nhà ông Nguyễn Ngọc Tịnh - Ngõ Nhà ông  Nguyễn Hữu Tâm</t>
  </si>
  <si>
    <t>Tuyến đường từ ngõ ông Nguyễn Khôi đến ngõ bà Nguyễn Thị Bổn ( Thời)</t>
  </si>
  <si>
    <t>Tuyến đường từ ngõ nhà ông Tinh ra Ngõ Nhà ông Sữu</t>
  </si>
  <si>
    <t>Tuyến đường từ đường bê tông đến nhà ông Nguyễn Anh Tuấn</t>
  </si>
  <si>
    <t>Tuyến đường từ Vườn nhà bà Dương Thị Bến - Ngõ nhà ông Nguyễn Văn Sáu</t>
  </si>
  <si>
    <t>Tuyến đường từ ngã ba đường bê tông đến nhà ông Nguyễn Văn Hùng</t>
  </si>
  <si>
    <t>Tuyến đường từ Cầu Thủy lợi - Ngõ nhà bà Lưu Thị Thanh</t>
  </si>
  <si>
    <t>Tuyến đường từ nhà Sang Nhàn đến ngõ nhà Trần Văn Mản</t>
  </si>
  <si>
    <t>Tuyến đường từ nhà ông Phan Thế Sự xuống nhà ông Huỳnh Bích</t>
  </si>
  <si>
    <t>Tuyến đường từ đường bê tông đến nhà ông Nguyễn Hữu Nhị</t>
  </si>
  <si>
    <t>Tuyến đường từ Nhà ông Nguyễn Văn Nho - Vườn ông Nguyễn Đức Tám</t>
  </si>
  <si>
    <t>Tuyến đường từ ngã ba đường bê tông đến nhà bà Phạm thị Hường</t>
  </si>
  <si>
    <t>Tuyến đường từ Cầu Thạch Nham - nhà ông Nguyễn Ru</t>
  </si>
  <si>
    <t>Tuyến đường Từ đường bê tông nhà Sang  Nhàn đến ngõ ông Thới Triệu</t>
  </si>
  <si>
    <t>Tuyến đường từ vườn bà Hoa xuống nhà bà Lẳng</t>
  </si>
  <si>
    <t>Tuyến đường từ đường bê tông đến nhà ông Nguyễn Ngọc Anh</t>
  </si>
  <si>
    <t>Tuyến đường Từ vườn bà Đỗ Thị Hoàng - Nhà ông Đặng Ngọc Lạc</t>
  </si>
  <si>
    <t>Tuyến đường từ nhà ông Bùi Văn Tâm đến nhà ông Cao Phú</t>
  </si>
  <si>
    <t>Tuyến đường từ đường bê tông - Vườn nhà ông Đặng Tài Đạt</t>
  </si>
  <si>
    <t>Tuyến đường từ ngõ ông Khới đến đường Cái mới ngõ ông Trần Văn Sáu</t>
  </si>
  <si>
    <t>Tuyến đường từ đường Trà Câu Phổ Phong vào nhà ông Thạch</t>
  </si>
  <si>
    <t>Tuyến đường từ đường bê tông đến nhà ông Nguyễn Đức Trí</t>
  </si>
  <si>
    <t>Đường từ nhà bà Nguyễn Thị Hồng Lâm - Vườn nhà ông Nguyễn Văn Tám</t>
  </si>
  <si>
    <t>Tuyến đường từ ngã ba đường bê tông đến nhà ông Đỗ Thanh Quyền</t>
  </si>
  <si>
    <t>Tuyến đường từ đường bê tông - Ruộng ông Nguyễn Văn Quát</t>
  </si>
  <si>
    <t>Tuyến đường từ ngõ ông Trần Đức Chí - Ngõ ông Trần Tấn Quảng</t>
  </si>
  <si>
    <t>Tuyến đường từ nhà ông Bảo lên hết vườn ông Nghiêm</t>
  </si>
  <si>
    <t>Tuyến đường từ ngõ Phạm Thị Tám - ngõ ông Nguyễn Đình Tạo</t>
  </si>
  <si>
    <t>Tuyến đường từ Thủy lợi đến nhà bà Nguyễn Thị Kim Thông</t>
  </si>
  <si>
    <t>Tuyến đường từ ngõ ông Tiếng đến ngõ ông Nguyễn Văn Sáu</t>
  </si>
  <si>
    <t>Tuyến đường từ đường Trà Câu Phổ Phong vào Trường</t>
  </si>
  <si>
    <t>Tuyến đường từ ngõ ông Phạm Hồng Ánh - Ngõ ông Nguyễn Sỹ</t>
  </si>
  <si>
    <t>Tuyến đường từ ngã ba đường bê tông đến nhà ông Nguyễn Thanh Tùng</t>
  </si>
  <si>
    <t>Tuyến đường từ ngõ ông Nguyễn Văn Sáu - Ngõ ông Nguyễn Trung thể</t>
  </si>
  <si>
    <t>Tuyến đường từ đường bê tông nội đồng - nhà ông Hợi</t>
  </si>
  <si>
    <t>Tuuyến đường từ vườn nhà ông Nguyễn Quốc Viêt - Vườn nhà ông Nguyễn Đình Nhân</t>
  </si>
  <si>
    <t>Tuyến đường từ nhà ông Nguyễn Ích Tài đến nhà ông Nguyễn Ích Côi</t>
  </si>
  <si>
    <t>Tuyến đường từ ngõ bà Nguyễn Thị Hè - ngõ ông Nguyễn Văn Thái</t>
  </si>
  <si>
    <t>Tuyến đường từ đường bê tông nội đồng - nhà bà Dung</t>
  </si>
  <si>
    <t>Tuyến đường từ ngõ Bùi Tấn Vinh - Ngõ Bùi Nguyên</t>
  </si>
  <si>
    <t>Tuyến đường từ nhà bà Phạm Thị Bốn đén nhà bà Phạm Thị Hương</t>
  </si>
  <si>
    <t>Tuyến đường từ ngõ ông Võ Nỡ - Ngõ ông Võ Văn Nhiều</t>
  </si>
  <si>
    <t>Tuyến đường từ Nhà thờ - nhà ông Rạng</t>
  </si>
  <si>
    <t>Tuyến đường từ ngõ bà Nguyễn Thị Lựu - ngõ ông Nguyễn Đình Khanh</t>
  </si>
  <si>
    <t>Tuyến đường từ nhà ông Phạm Văn Bình đến nhà ông Bùi Lương</t>
  </si>
  <si>
    <t>Tuyến đường từ ngõ ông Thới Công - Ngõ ông Nguyễn Văn Đạo</t>
  </si>
  <si>
    <t>Tuyến đường từ ngõ ông Diệu - nhà bà Sáu</t>
  </si>
  <si>
    <t>Tuyến đường từ ngõ ông Nguyễn Đức tính - Ngõ ông Huỳnh Khanh</t>
  </si>
  <si>
    <t>Tuyến đường từ đường bê tông đến nhà bà tụ</t>
  </si>
  <si>
    <t>Tuyến đường từ ngõ bà Hiệu - ngõ ông Tư Hạnh</t>
  </si>
  <si>
    <t>Tuyến Đường từ QL1A - Ông Cường</t>
  </si>
  <si>
    <t>Tuyến đường từ nhà ông Phạm Bốn - nhà ông Phạm Mười</t>
  </si>
  <si>
    <t>Tuyến đường từ ngõ ông Nguyễn Đức Nga - Ngõ bà Nguyễn Thị Giàu</t>
  </si>
  <si>
    <t>Tuyến đường từ ngõ bà Kiển -ngõ bà Lợi</t>
  </si>
  <si>
    <t>Tuyến đường từ ngõ Đặng Thuộc - Ngõ Đặng Dũng</t>
  </si>
  <si>
    <t>Tuyến đường từ đường bê tông - ngõ ông Nguyễn Đức Mẫn</t>
  </si>
  <si>
    <t>Tuyến đường từ Thủy lợi đến nhà thờ ông Hoàng Bình</t>
  </si>
  <si>
    <t>Tuyến đường ngõ Huỳnh Triệu  - Ngõ Đặng Thị Tám</t>
  </si>
  <si>
    <t>Tuyến đường mgõ bà Nguyễn Thị Tần - Ngõ Nguyễn Đại</t>
  </si>
  <si>
    <t>Tuyến đường từ ngõ ông Lâm - Ngõ ông chín Bảng</t>
  </si>
  <si>
    <t>Đường từ ngõ bà Mười - Ngõ ông Linh</t>
  </si>
  <si>
    <t>Tuyến đường từ ngõ bà Đào Thị Xuân Mai - ngõ ông Nguyễn Ngọc Thủy</t>
  </si>
  <si>
    <t>Tuyến đường từ ngõ ông Nguyễn Thanh Cừu - ngõ bà Trần Thị Minh Hương</t>
  </si>
  <si>
    <t>Tuyến đường từ Ngõ bà Nguyễn Thị Ánh - ngõ ông Nguyễn Văn Chung</t>
  </si>
  <si>
    <t>Tuyến đường từ Ngõ bà Đỗ Thị Tiền - ngõ ông Nguyễn Tám</t>
  </si>
  <si>
    <t>Tuyến đường từ ngõ ông Xích -ngõ ông Nguyễn Văn Chung xuống ông Trần Điệu</t>
  </si>
  <si>
    <t>Tuyến đường từ ngõ ông Nguyễn Được - Ngõ ông Phạm Chế</t>
  </si>
  <si>
    <t>Tuyến đường từ đường bê tông đường chợ đến ngõ ông Nguyễn Phương</t>
  </si>
  <si>
    <t>Tuyến đường từ ngõ ông Huỳnh Xuân - ngõ ông Nguyễn Đức Xí</t>
  </si>
  <si>
    <t>Tuyến đường từ đường Trà Câu Phổ Phong đi chùa Long Sơn</t>
  </si>
  <si>
    <t>Tuyến đường từ nhà ông Lê Mười đến nhà ông Nguyễn Tam</t>
  </si>
  <si>
    <t>Tuyến đường Từ nhà ông Nguyễn Văn Cao đến nhà ông Huỳnh Tấn Hòa.</t>
  </si>
  <si>
    <t>Tuyến đường từ nhà ông Hạnh đến nhà bà Thơm</t>
  </si>
  <si>
    <t>Tuyến đường từ nhà ông Tô Cam đến nhà ông Nguyễn Chín.</t>
  </si>
  <si>
    <t>GTNĐ: Tuyến đường từ nhà bà Yến đi sông thoa</t>
  </si>
  <si>
    <t>Tuyến đường Nguyễn Nghiêm đi Nguyễn Xuân Viên (Thôn Hùng Nghĩa)</t>
  </si>
  <si>
    <t>Tuyến Nguyễn Nghiêm đi Huỳnh Ngọc Xuân (Thôn Hùng Nghĩa)</t>
  </si>
  <si>
    <t>Tuyến Bê tông Hùng Nghĩa đi Đặng Thị Lệ (Thôn Hùng Nghĩa)</t>
  </si>
  <si>
    <t>Tuyến Bê tông Hùng Nghĩa đi Huỳnh Thị Hơn (Thôn Hùng Nghĩa)</t>
  </si>
  <si>
    <t>Tuyến Bê tông Hùng Nghĩa đi Nguyễn Ngọc Sanh (Thôn Hùng Nghĩa)</t>
  </si>
  <si>
    <t>Tuyến Bê tông Hùng Nghĩa đi Lê Thị Tiến (Thôn Hùng Nghĩa)</t>
  </si>
  <si>
    <t>Tuyến ngõ Chớ - ngõ Nhịp (thôn Hiệp An)</t>
  </si>
  <si>
    <t>Tuyến Bê tông Hiệp An - Gia An đi ngõ Ninh (thôn Hiệp An)</t>
  </si>
  <si>
    <t>Tuyến ngõ Lê Văn Ít - ngõ Lãm (thôn Hiệp An)</t>
  </si>
  <si>
    <t>Tuyến Huỳnh Hiệt - Sáu Ni (thôn Hiệp An)</t>
  </si>
  <si>
    <t>Tuyến ngõ Lê Thanh Sâm - ngõ Tuấn (thôn Hiệp An)</t>
  </si>
  <si>
    <t>Tuyến ngõ Lữ Thừa - ngõ Liễu (thôn Hiệp An)</t>
  </si>
  <si>
    <t>Tuyến ngõ Liễu đi ngõ Huỳnh Văn Lệ (thôn Hiệp An)</t>
  </si>
  <si>
    <t>Tuyến ngõ Trương Thị Dậu - Cao Thị Đào (thôn Hiệp An)</t>
  </si>
  <si>
    <t>Tuyến ngõ Bình - ngõ ông Giản (thôn Hiệp An)</t>
  </si>
  <si>
    <t>Tuyến ngõ Hai Lang - ngõ Nam (thôn Hiệp An)</t>
  </si>
  <si>
    <t>Tuyến đường ngõ Thái - ngõ Trà (thôn Hiệp An)</t>
  </si>
  <si>
    <t>Tuyến đường Chợ mới Vĩnh Xuân - ngõ Nguyễn Thị Hồng Vân (thôn Vĩnh Xuân)</t>
  </si>
  <si>
    <t>Tuyến Bê tông vườn Đình - ngõ Thới Ngọc Bảo (thôn Vĩnh Xuân)</t>
  </si>
  <si>
    <t>Tuyến Bê tông Thới Ngọc Bốn - Trần Ngọc Đồng (thôn Vĩnh Xuân)</t>
  </si>
  <si>
    <t>Tuyến Bê tông Chợ mới Vĩnh Xuân - ngõ Phan Thống (thôn Vĩnh Xuân)</t>
  </si>
  <si>
    <t>Tuyến Bê tông Trà Câu km7 - ngõ Phạm Hữu Cảnh (thôn Vĩnh Xuân)</t>
  </si>
  <si>
    <t>Tuyến đường Trà Câu km7 - ngõ Nguyễn Thanh Vân (thôn Vĩnh Xuân)</t>
  </si>
  <si>
    <t>Tuyến Bê tông Xóm Bàu - ngõ Trần Văn Tám Em (thôn Vĩnh Xuân)</t>
  </si>
  <si>
    <t>Tuyến đường Bê tông Xóm Bàu - ngõ Trần Văn Thành (thôn Vĩnh Xuân)</t>
  </si>
  <si>
    <t>Tuyến đường Bê tông Xóm Bàu - ngõ Nguyễn Thị Bông (thôn Vĩnh Xuân)</t>
  </si>
  <si>
    <t>Tuyến đường Bê tông Xóm Bàu - ngõ Trần Phú (thôn Vĩnh Xuân)</t>
  </si>
  <si>
    <t>Tuyến đường Nhà thờ xuống ngõ Huỳnh Sang + Nguyễn Phương (thôn Gia An)</t>
  </si>
  <si>
    <t>Tuyến ngõ Hồ Bảy + Hồ Chí Bình + Tạ Văn Hậu (thôn Gia An)</t>
  </si>
  <si>
    <t>Tuyến Huỳnh Kim + Tám Vui + Hai Chiến (thôn Gia An)</t>
  </si>
  <si>
    <t>Tuyến Nguyễn Tâm + Nguyễn Văn Vững (thôn Gia An)</t>
  </si>
  <si>
    <t>Tuyến Tạ Quốc Thế + Nguyễn Thị Phụ (thôn Gia An)</t>
  </si>
  <si>
    <t>Tuyến ngõ Quang + Phạm Văn Lượng (thôn Gia An)</t>
  </si>
  <si>
    <t>Tuyến ngõ Nguyền Hòa + Nguyễn Phi Thường (thôn Gia An)</t>
  </si>
  <si>
    <t>Tuyến ngõ Nguyễn Huế + Nguyễn Thị Nở (thôn Gia An)</t>
  </si>
  <si>
    <t>Tuyến ngõ Nguyễn Minh + Lê Tùng Linh (thôn Gia An)</t>
  </si>
  <si>
    <t>Tuyến Trần Ngọc Dũng + Trần Lực (thôn Gia An)</t>
  </si>
  <si>
    <t>Tuyến đường QL24 - Nguyễn Minh Tâm (thôn Tân Phong)</t>
  </si>
  <si>
    <t>Tuyến Trà Câu km7 - Huỳnh Thanh Sơn (thôn Tân Phong)</t>
  </si>
  <si>
    <t>Tuyến Võ Sơn - Đăng Thị Hà (thôn Tân Phong)</t>
  </si>
  <si>
    <t>Tuyến Trà Câu km7 - Nguyễn Đức Dưỡng (thôn Tân Phong)</t>
  </si>
  <si>
    <t>Tuyến Phạm Văn Rê - Nguyễn Thanh Hiếu (thôn Tân Phong)</t>
  </si>
  <si>
    <t>Tuyến Ngô Thị Bé - Ngô Quảng (thôn Tân Phong)</t>
  </si>
  <si>
    <t>Tuyến Hồ Thị Thanh Tùng - Ngô Tấn Lực (thôn Tân Phong)</t>
  </si>
  <si>
    <t>Tuyến Ngô Tấn Đạt - Trần Anh Sơn (thôn Tân Phong)</t>
  </si>
  <si>
    <t>Tuyến Mai Trị - Nguyễn Thị Sáu (thôn Tân Phong)</t>
  </si>
  <si>
    <t>Tuyến Phạm Minh Hồ - Nguyễn Thị Hoa (thôn Tân Phong)</t>
  </si>
  <si>
    <t>Tuyến Nguyễn Nghiêm - Võ Anh Tuấn (thôn Tân Phong)</t>
  </si>
  <si>
    <t>Tuyến Đặng Vỵ - Mai Cầu (thôn Tân Phong)</t>
  </si>
  <si>
    <t>Tuyến Phan Văn Vũ - Huỳnh Ngọc Huấn (thôn Tân Phong)</t>
  </si>
  <si>
    <t>Tuyến Lê Ba - Trần Văn Nhân (thôn Tân Phong)</t>
  </si>
  <si>
    <t>Tuyến Nguyễn Cành - Nguyễn Danh (thôn Tân Phong)</t>
  </si>
  <si>
    <t>Tuyến Mai Minh - Lê Văn Thuận (thôn Tân Phong)</t>
  </si>
  <si>
    <t>Tuyến Nguyễn Phúc - Nguyễn Văn Sửu (thôn Tân Phong)</t>
  </si>
  <si>
    <t>Tuyến Huỳnh Thành Tây - Nguyễn Đình Văn (thôn Tân Phong)</t>
  </si>
  <si>
    <t>Tuyến Phạm Thị Xuân Linh - Trần Văn Thành (thôn Tân Phong)</t>
  </si>
  <si>
    <t>Tuyến Nguyễn Nghiêm - Mai Nhường (thôn Tân Phong)</t>
  </si>
  <si>
    <t>Tuyến đường Trần Mười - Nguyễn Thị Bảy (thôn Tân Phong)</t>
  </si>
  <si>
    <t>Tuyến Trần Thị Diệp - Huỳnh Tuấn (thôn Tân Phong)</t>
  </si>
  <si>
    <t>Tuyến Trà Câu km7 - Nguyễn Lựu (thôn Tân Phong)</t>
  </si>
  <si>
    <t>Tuyến ngõ Nguyễn Tiến Hoàng - Nguyễn Tám (thôn Tân Phong)</t>
  </si>
  <si>
    <t>Tuyến đường số 6 - Nguyễn Nghiêm đến hộ Lê Thanh (thôn Vạn Trung)</t>
  </si>
  <si>
    <t>Tuyến đường ngõ cảnh đến ngõ Dàn (thôn Vạn Trung)</t>
  </si>
  <si>
    <t>Tuyến đường ngõ Tịnh đến ngõ Bình (thôn Vạn Trung)</t>
  </si>
  <si>
    <t>Tuyến đường số 6 - Nguyễn Nghiêm đến Khánh (thôn Vạn Trung)</t>
  </si>
  <si>
    <t>Tuyến đường Bê tông đến Trịnh Minh (thôn Vạn Trung)</t>
  </si>
  <si>
    <t>Tuyến đường Bê tông Quốc lộ 24 đến Sĩ (thôn Vạn Trung)</t>
  </si>
  <si>
    <t>Tuyến đường Bê tông 4 Kính đến Phúc (thôn Vạn Trung)</t>
  </si>
  <si>
    <t>Tuyến đường Quốc lộ 24 đến Hường (thôn Vạn Trung)</t>
  </si>
  <si>
    <t>Tuyến đường ngõ Trung đến Mai (thôn Vạn Trung)</t>
  </si>
  <si>
    <t>Tuyến đường ngõ Thông đến ngõ Danh (thôn Vạn Trung)</t>
  </si>
  <si>
    <t>Tuyến đường Quốc lộ 24 đến Đặng Lệ (thôn Vạn Trung)</t>
  </si>
  <si>
    <t>Tuyến đường ngõ Phê đến ngõ Bảy (thôn Vạn Trung)</t>
  </si>
  <si>
    <t>Tuyến đường Quốc lộ 24 đến hộ Ngô Đức Toàn (thôn Vạn Trung)</t>
  </si>
  <si>
    <t>Tuyến đường Trà Câu số 7 đến hộ Võ Sung (thôn Vạn Trung)</t>
  </si>
  <si>
    <t>Tuyến đường Trà Câu số 7 đến hộ Võ Sương (thôn Vạn Trung)</t>
  </si>
  <si>
    <t>Tuyến đường Trà Câu số 7 đến hộ Lê Ngọc Hiếu (thôn Vạn Trung)</t>
  </si>
  <si>
    <t>Tuyến đường Trà Câu số 7 đến Nghĩa địa Gò Dê (thôn Vạn Trung)</t>
  </si>
  <si>
    <t>Tuyến đường ngã ba bà Trần Thị Đào đến hộ Trần Thị Cẩm Lệ (thôn Vạn Trung)</t>
  </si>
  <si>
    <t>Tuyến đường Quốc lộ 24 đến hộ Võ Huynh (thôn Vạn Trung)</t>
  </si>
  <si>
    <t>Tuyến đường ngõ Nguyễn Hùng đến hộ Đoàn Thị Xuân Hương (thôn Vạn Trung)</t>
  </si>
  <si>
    <t>Tuyến đường Bê tông ngõ Chưa đến hộ Trương Văn Cường (thôn Vạn Trung)</t>
  </si>
  <si>
    <t>Tuyến đường Bê tông ngõ Dương đến hộ Đặng Văn Hộp (thôn Vạn Trung)</t>
  </si>
  <si>
    <t>Tuyến đường Quốc lộ 24 đến hộ Đặng Thường (thôn Vạn Trung)</t>
  </si>
  <si>
    <t>Tuyến đường Quốc lộ 24 đến hộ Lê Thanh Biên (thôn Vạn Trung)</t>
  </si>
  <si>
    <t>Tuyến đường Bê tông số 6 xuống Nguyễn Nghiêm đến hộ Võ Hinh (thôn Vạn Trung)</t>
  </si>
  <si>
    <t>Tuyến đường Bê tông E93.F307 đến hộ Đoàn Minh Chương (thôn Vạn Trung)</t>
  </si>
  <si>
    <t>Tuyến đường Bê tông ngõ Hùng đến hộ Đặng Thị Xuân Ba (thôn Vạn Trung)</t>
  </si>
  <si>
    <t>Tuyến đường Bê tông ngõ Chưa đến hộ Lê Thị Ba (thôn Vạn Trung)</t>
  </si>
  <si>
    <t>Tuyến đường Bê tông Trà Câu số 7 đến hộ Đặng Ngọc Tiến (thôn Vạn Trung)</t>
  </si>
  <si>
    <t>Tuyến đường Quốc lộ 24 đến hộ Trần Chiến (thôn Vạn Trung)</t>
  </si>
  <si>
    <t>Tuyến đường Quốc lộ 24 đến hộ Trần Thị Điền (thôn Vạn Trung)</t>
  </si>
  <si>
    <t>Tuyến đường Bê tông E93.F307 đến hộ Huỳnh Cao (thôn Vạn Trung)</t>
  </si>
  <si>
    <t>Tuyến đường Bê tông ngõ Hùng đến hộ Nguyễn Thiên (thôn Vạn Trung)</t>
  </si>
  <si>
    <t>Tuyến đường Bê tường đến ngõ Tồn (thôn Vạn Trung)</t>
  </si>
  <si>
    <t>TỔNG HỢP KHỐI LƯỢNG HỖ TRỢ XI MĂNG ĐỂ LÀM ĐƯỜNG GIAO THÔNG NÔNG THÔN-MIỀN NÚI NĂM 2024</t>
  </si>
  <si>
    <t>Không cấp xi măng</t>
  </si>
  <si>
    <t>82.1</t>
  </si>
  <si>
    <t>82.2</t>
  </si>
  <si>
    <t>82.3</t>
  </si>
  <si>
    <t>82.4</t>
  </si>
  <si>
    <t>82.5</t>
  </si>
  <si>
    <t>82.6</t>
  </si>
  <si>
    <t>82.7</t>
  </si>
  <si>
    <t>82.8</t>
  </si>
  <si>
    <t>82.9</t>
  </si>
  <si>
    <t>82.10</t>
  </si>
  <si>
    <t>82.11</t>
  </si>
  <si>
    <t>82.12</t>
  </si>
  <si>
    <t>82.13</t>
  </si>
  <si>
    <t>83.1</t>
  </si>
  <si>
    <t>83.2</t>
  </si>
  <si>
    <t>83.3</t>
  </si>
  <si>
    <t>83.4</t>
  </si>
  <si>
    <t>83.5</t>
  </si>
  <si>
    <t>83.6</t>
  </si>
  <si>
    <t>83.7</t>
  </si>
  <si>
    <t>83.8</t>
  </si>
  <si>
    <t>83.9</t>
  </si>
  <si>
    <t>83.10</t>
  </si>
  <si>
    <t>83.11</t>
  </si>
  <si>
    <t>83.12</t>
  </si>
  <si>
    <t>83.13</t>
  </si>
  <si>
    <t>83.14</t>
  </si>
  <si>
    <t>83.15</t>
  </si>
  <si>
    <t>83.16</t>
  </si>
  <si>
    <t>83.17</t>
  </si>
  <si>
    <t>83.18</t>
  </si>
  <si>
    <t>83.19</t>
  </si>
  <si>
    <t>84.1</t>
  </si>
  <si>
    <t>84.2</t>
  </si>
  <si>
    <t>84.3</t>
  </si>
  <si>
    <t>84.4</t>
  </si>
  <si>
    <t>84.5</t>
  </si>
  <si>
    <t>84.6</t>
  </si>
  <si>
    <t>84.7</t>
  </si>
  <si>
    <t>84.8</t>
  </si>
  <si>
    <t>84.9</t>
  </si>
  <si>
    <t>84.10</t>
  </si>
  <si>
    <t>84.11</t>
  </si>
  <si>
    <t>84.12</t>
  </si>
  <si>
    <t>84.13</t>
  </si>
  <si>
    <t>84.14</t>
  </si>
  <si>
    <t>84.15</t>
  </si>
  <si>
    <t>84.16</t>
  </si>
  <si>
    <t>84.17</t>
  </si>
  <si>
    <t>84.18</t>
  </si>
  <si>
    <t>84.19</t>
  </si>
  <si>
    <t>84.20</t>
  </si>
  <si>
    <t>84.21</t>
  </si>
  <si>
    <t>84.22</t>
  </si>
  <si>
    <t>84.23</t>
  </si>
  <si>
    <t>85.5</t>
  </si>
  <si>
    <t>85.6</t>
  </si>
  <si>
    <t>85.7</t>
  </si>
  <si>
    <t>85.8</t>
  </si>
  <si>
    <t>85.9</t>
  </si>
  <si>
    <t>85.10</t>
  </si>
  <si>
    <t>85.11</t>
  </si>
  <si>
    <t>85.12</t>
  </si>
  <si>
    <t>86.3</t>
  </si>
  <si>
    <t>86.4</t>
  </si>
  <si>
    <t>86.5</t>
  </si>
  <si>
    <t>86.6</t>
  </si>
  <si>
    <t>86.7</t>
  </si>
  <si>
    <t>86.8</t>
  </si>
  <si>
    <t>86.9</t>
  </si>
  <si>
    <t>86.10</t>
  </si>
  <si>
    <t>86.11</t>
  </si>
  <si>
    <t>86.12</t>
  </si>
  <si>
    <t>86.13</t>
  </si>
  <si>
    <t>86.14</t>
  </si>
  <si>
    <t>86.15</t>
  </si>
  <si>
    <t>86.16</t>
  </si>
  <si>
    <t>86.17</t>
  </si>
  <si>
    <t>86.18</t>
  </si>
  <si>
    <t>86.19</t>
  </si>
  <si>
    <t>86.20</t>
  </si>
  <si>
    <t>86.21</t>
  </si>
  <si>
    <t>86.22</t>
  </si>
  <si>
    <t>86.23</t>
  </si>
  <si>
    <t>86.24</t>
  </si>
  <si>
    <t>86.25</t>
  </si>
  <si>
    <t>86.26</t>
  </si>
  <si>
    <t>86.27</t>
  </si>
  <si>
    <t>86.28</t>
  </si>
  <si>
    <t>86.29</t>
  </si>
  <si>
    <t>86.30</t>
  </si>
  <si>
    <t>86.31</t>
  </si>
  <si>
    <t>86.32</t>
  </si>
  <si>
    <t>86.33</t>
  </si>
  <si>
    <t>86.34</t>
  </si>
  <si>
    <t>86.35</t>
  </si>
  <si>
    <t>86.36</t>
  </si>
  <si>
    <t>86.37</t>
  </si>
  <si>
    <t>86.38</t>
  </si>
  <si>
    <t>86.39</t>
  </si>
  <si>
    <t>86.40</t>
  </si>
  <si>
    <t>86.41</t>
  </si>
  <si>
    <t>86.42</t>
  </si>
  <si>
    <t>86.43</t>
  </si>
  <si>
    <t>86.44</t>
  </si>
  <si>
    <t>86.45</t>
  </si>
  <si>
    <t>86.46</t>
  </si>
  <si>
    <t>86.47</t>
  </si>
  <si>
    <t>86.48</t>
  </si>
  <si>
    <t>86.49</t>
  </si>
  <si>
    <t>86.50</t>
  </si>
  <si>
    <t>86.51</t>
  </si>
  <si>
    <t>86.52</t>
  </si>
  <si>
    <t>86.53</t>
  </si>
  <si>
    <t>86.54</t>
  </si>
  <si>
    <t>86.55</t>
  </si>
  <si>
    <t>86.56</t>
  </si>
  <si>
    <t>86.57</t>
  </si>
  <si>
    <t>86.58</t>
  </si>
  <si>
    <t>86.59</t>
  </si>
  <si>
    <t>86.60</t>
  </si>
  <si>
    <t>86.61</t>
  </si>
  <si>
    <t>86.62</t>
  </si>
  <si>
    <t>86.63</t>
  </si>
  <si>
    <t>86.64</t>
  </si>
  <si>
    <t>87.4</t>
  </si>
  <si>
    <t>87.5</t>
  </si>
  <si>
    <t>87.6</t>
  </si>
  <si>
    <t>87.7</t>
  </si>
  <si>
    <t>87.8</t>
  </si>
  <si>
    <t>87.9</t>
  </si>
  <si>
    <t>87.10</t>
  </si>
  <si>
    <t>89.1</t>
  </si>
  <si>
    <t>89.2</t>
  </si>
  <si>
    <t>89.3</t>
  </si>
  <si>
    <t>89.4</t>
  </si>
  <si>
    <t>89.5</t>
  </si>
  <si>
    <t>89.6</t>
  </si>
  <si>
    <t>89.7</t>
  </si>
  <si>
    <t>89.8</t>
  </si>
  <si>
    <t>89.9</t>
  </si>
  <si>
    <t>90.14</t>
  </si>
  <si>
    <t>90.15</t>
  </si>
  <si>
    <t>90.16</t>
  </si>
  <si>
    <t>90.17</t>
  </si>
  <si>
    <t>90.18</t>
  </si>
  <si>
    <t>90.19</t>
  </si>
  <si>
    <t>90.20</t>
  </si>
  <si>
    <t>90.21</t>
  </si>
  <si>
    <t>90.22</t>
  </si>
  <si>
    <t>90.23</t>
  </si>
  <si>
    <t>90.24</t>
  </si>
  <si>
    <t>90.25</t>
  </si>
  <si>
    <t>90.26</t>
  </si>
  <si>
    <t>91.11</t>
  </si>
  <si>
    <t>91.12</t>
  </si>
  <si>
    <t>91.13</t>
  </si>
  <si>
    <t>91.14</t>
  </si>
  <si>
    <t>91.15</t>
  </si>
  <si>
    <t>91.16</t>
  </si>
  <si>
    <t>91.17</t>
  </si>
  <si>
    <t>91.18</t>
  </si>
  <si>
    <t>91.19</t>
  </si>
  <si>
    <t>92.7</t>
  </si>
  <si>
    <t>92.8</t>
  </si>
  <si>
    <t>92.9</t>
  </si>
  <si>
    <t>93.6</t>
  </si>
  <si>
    <t>93.7</t>
  </si>
  <si>
    <t>93.8</t>
  </si>
  <si>
    <t>93.9</t>
  </si>
  <si>
    <t>94.29</t>
  </si>
  <si>
    <t>94.30</t>
  </si>
  <si>
    <t>94.31</t>
  </si>
  <si>
    <t>94.32</t>
  </si>
  <si>
    <t>94.33</t>
  </si>
  <si>
    <t>94.34</t>
  </si>
  <si>
    <t>94.35</t>
  </si>
  <si>
    <t>94.36</t>
  </si>
  <si>
    <t>94.37</t>
  </si>
  <si>
    <t>94.38</t>
  </si>
  <si>
    <t>95.7</t>
  </si>
  <si>
    <t>95.8</t>
  </si>
  <si>
    <t>95.9</t>
  </si>
  <si>
    <t>95.10</t>
  </si>
  <si>
    <t>95.11</t>
  </si>
  <si>
    <t>95.12</t>
  </si>
  <si>
    <t>Danh mục công trình đề nghị điều chỉnh</t>
  </si>
  <si>
    <t>Danh mục công trình theo Quyết định 562/QĐ-UBND ngày 14/5/2024</t>
  </si>
  <si>
    <t>Nội dung điều chỉnh</t>
  </si>
  <si>
    <t>Bổ sung mới</t>
  </si>
  <si>
    <t>Giữ nguyên</t>
  </si>
  <si>
    <t>Không thực hiện</t>
  </si>
  <si>
    <t>Điều chỉnh giảm chiều dài</t>
  </si>
  <si>
    <t>Điều chỉnh tăng chiều dài</t>
  </si>
  <si>
    <t>Tuyến đường nhà ông Tin, xóm 28 đi đến giáp đường mới thôn Trung Hải.</t>
  </si>
  <si>
    <t>Tuyến đường từ nhà ông Mẽo đến nhà ông Xi, thôn Trung Sơn, có quy mô dài 200 m, rộng 2,5 m</t>
  </si>
  <si>
    <t>Tuyến đường xóm 5 đi đến nhà ông Võ Báu, thôn Diên Trường</t>
  </si>
  <si>
    <t>Tuyến đường ngã ba ông Lô đến nhà ông Long, thôn Trung Sơn</t>
  </si>
  <si>
    <t>Tuyến đường nhà ông Cảm đến nhà ông Tịnh, xóm 5, thôn Diên Trường</t>
  </si>
  <si>
    <t>Tuyến đường từ nhà ông Nguyễn Hữu Chính đi nhà bà Nguyễn Thị Hạnh (Phước Nhơn)</t>
  </si>
  <si>
    <t>Tuyến đường từ nhà ông Huỳnh Mùi đến nhà ông Huỳnh Thới (Phước Nhơn)</t>
  </si>
  <si>
    <t>Tuyến đường từ ngã ba đường chính đi nhà bà Huỳnh Thị  Nghĩa (Phước Nhơn)</t>
  </si>
  <si>
    <t>Tuyến Đường từ nhà ông Nhiệm đến nhà ông Nguyễn Tiến Sáu ra đồng Chà Là (Nhơn Bích)</t>
  </si>
  <si>
    <t>Tuyến đường từ đường Chính nghĩa đi nhà ông Phạm Thọ (Nhơn Bích)</t>
  </si>
  <si>
    <t>Tuyến đường từ nhà Phạm Tám (Nhơn Bích)</t>
  </si>
  <si>
    <t>Tuyến đường từ nhà Hồng Hà đến Võ Trọng Kiều (Nhơn Bích)</t>
  </si>
  <si>
    <t>Tuyến đường từ nhà Nguyễn Tấn Năm  đến nhà bà Chia (Tân Sơn)</t>
  </si>
  <si>
    <t>Tuyến từ ngõ nhà ông Riếu đến nhà Trần Đơn Quế</t>
  </si>
  <si>
    <t>Từ ngõ nhà bà Nguyễn Thị Tần - Khu tái định cư Đồng Nã</t>
  </si>
  <si>
    <t>Tuyến đường từ nhà ông Nhị - Nhà ông Nghĩa</t>
  </si>
  <si>
    <t>Tuyến đường từ đường bê  tông đến nhà ông tô Huỳnh Sơn</t>
  </si>
  <si>
    <t>Tuyến từ kênh Thạch Nham - nhà ông Thới Xuân Ân</t>
  </si>
  <si>
    <t>Tuyến từ cầu bà Định - nhà bà Nguyễn Thị Liên</t>
  </si>
  <si>
    <t>Tuyến từ Miễu Mã Vôi - Kênh N10 An Định</t>
  </si>
  <si>
    <t>Tuyến đường từ nhà ông Nguyễn Hữu Khiết - nhà ông Nguyễn Cường</t>
  </si>
  <si>
    <t>Tuyến đường bờ vùng dưới đội 3 - lên chùa</t>
  </si>
  <si>
    <t>Tuyến đường từ bê tông Gò Vàng - Bà Hòa</t>
  </si>
  <si>
    <t>Tuyến đường từ bê tông Gò Vàng - Bà Bốn</t>
  </si>
  <si>
    <t>Tuyến đường Từ Ngõ bà Nguyên Thị Hẳn - nhà ông Nguyễn Sinh Viên</t>
  </si>
  <si>
    <t>Tuyến đường từ ngõ ông Nguyễn Tấn Bữu   -  Ngõ bà Phạm Thị Lộc</t>
  </si>
  <si>
    <t>Tuyến đường từ ngõ ông Lê Đào  -  Ngõ 
ông Lê Dược</t>
  </si>
  <si>
    <t>Tuyến đường từ Quán Thảo Nguyên -  ngõ ông Nguyễn Trung Dũng</t>
  </si>
  <si>
    <t>Tuyến đường từ nhà ông Bùi Ngữ đến nhà ông Dương Minh Toàn</t>
  </si>
  <si>
    <t>Từ miễu xóm 21 - Mã vôi</t>
  </si>
  <si>
    <t>Đường từ ngõ ông Xanh - ngõ ông Đồng</t>
  </si>
  <si>
    <t>Đường từ ngõ ông Danh - ngõ ông Dự</t>
  </si>
  <si>
    <t>Đường từ đường bê tông - Ngõ ông Nguyễn Tài Hợi</t>
  </si>
  <si>
    <t>Đường từ đường bê tông - Ngõ bà Trương Thị Hà</t>
  </si>
  <si>
    <t>Đường từ đường bê tông -  Ngõ bà Nguyễn Thị Kiệm</t>
  </si>
  <si>
    <t>Đường từ cầu thạch nham -  ngõ bà Nguyễn Thị Lương</t>
  </si>
  <si>
    <t>Đường từ cầu thạch nham -  ngõ ông Nguyễn Nhân</t>
  </si>
  <si>
    <t>Đường từ đường bê tông -  ngõ ông Nguyễn Sự</t>
  </si>
  <si>
    <t>Đường từ đường bê tông -  ngõ ông Nguyễn Đức Tỵ</t>
  </si>
  <si>
    <t>Đường từ đường vào nhà ông Tỵ  -  ngõ bà Nguyễn Thị Bốn</t>
  </si>
  <si>
    <t>Đường từ đường bê tông -  ngõ ông Thới Xuân Vinh</t>
  </si>
  <si>
    <t>Đường từ đường bê tông -  ngõ bà Nguyễn Thị Tuyết Mai</t>
  </si>
  <si>
    <t>Đường từ ngõ ông Nguyễn Thanh Trang -  đường Việt Thắng</t>
  </si>
  <si>
    <t>Đường từ Đường Bê Tông -  Ngõ Ông Nguyễn Bảy</t>
  </si>
  <si>
    <t>Tuyến Ngõ Nhịp - Ngõ Thể (thôn Hiệp An)</t>
  </si>
  <si>
    <t>Tuyến ngõ Ngô Chánh - ngõ Ngô Tiền (thôn Hiệp An)</t>
  </si>
  <si>
    <t>Tuyến Bê tông Hiệp An - Huỳnh Sô (thôn Hiệp An)</t>
  </si>
  <si>
    <t>Tuyến bê tông Hiệp An - Huỳnh Cam (thôn Hiệp An)</t>
  </si>
  <si>
    <t>Tuyến ngõ Huỳnh Quí - Huỳnh Ba (thôn Hiệp An)</t>
  </si>
  <si>
    <t>Tuyến đường bê tông Chợ Mới - Vĩnh Xuân nam đi ngõ Phạm Quốc Việt (thôn Vĩnh Xuân)</t>
  </si>
  <si>
    <t>Tuyến bê tông nhà Trịnh Minh Cảnh đi giáp đường bê tông ngõ Phan Văn Thân (thôn Vĩnh Xuân)</t>
  </si>
  <si>
    <t>Tuyến Nguyễn Mau (thôn Gia An)</t>
  </si>
  <si>
    <t>Tuyến ngõ ông Nguyễn Két (thôn Gia An)</t>
  </si>
  <si>
    <t>Tuyến ngõ ông Lữ Hoàng (thôn Gia An)</t>
  </si>
  <si>
    <t>Tuyến ngõ Nguyễn Ngọc Thới - ngõ Nguyễn Nuôi (thôn Tân Phong)</t>
  </si>
  <si>
    <t>Tuyến bê tông Gia An - Tân Phong - ngõ Võ Thị Ánh (thôn Tân Phong)</t>
  </si>
  <si>
    <t>Tuyến Nguyễn Nghiêm đi ngõ bà Phạm Thị Bính (thôn Tân Phong)</t>
  </si>
  <si>
    <t>tuyến đường Trà Câu số 7 đi ngõ Ngô Thị Duyên (thôn Tân Phong)</t>
  </si>
  <si>
    <t>Tuyến ngõ ông Nguyễn Văn Hùng (thôn Vạn Trung)</t>
  </si>
  <si>
    <t>Tuyến ngõ Đặng Trung Huề (thôn Vạn Trung)</t>
  </si>
  <si>
    <t>Tuyến hộ Nguyễn Thị Sen - Đỗ Thị Hường (thôn Vạn Trung)</t>
  </si>
  <si>
    <t>Chiều dài (m)</t>
  </si>
  <si>
    <t>Khối lượng 
xi măng (tấn)</t>
  </si>
  <si>
    <t>TỔNG HỢP ĐIỀU CHỈNH DANH MỤC CÁC TUYẾN ĐƯỜNG THỰC HIỆN THEO CƠ CHẾ HỖ TRỢ XI MĂNG CỦA UBND TỈNH 
CHO CÁC XÃ ĐỂ LÀM ĐƯỜNG GIAO THÔNG NÔNG THÔN NĂM 2024</t>
  </si>
  <si>
    <t>(Kèm theo Quyết định số:          /QĐ-UBND ngày      /11/2024 của UBND thị xã Đức Phổ)</t>
  </si>
  <si>
    <t xml:space="preserve">         UỶ BAN NHÂN DÂN</t>
  </si>
  <si>
    <t>CỘNG HÒA XÃ HỘI CHỦ NGHĨA VIỆT NAM</t>
  </si>
  <si>
    <r>
      <t xml:space="preserve">          TH</t>
    </r>
    <r>
      <rPr>
        <b/>
        <u/>
        <sz val="12"/>
        <color theme="1"/>
        <rFont val="Times New Roman"/>
        <family val="1"/>
      </rPr>
      <t>Ị XÃ ĐỨC P</t>
    </r>
    <r>
      <rPr>
        <b/>
        <sz val="12"/>
        <color theme="1"/>
        <rFont val="Times New Roman"/>
        <family val="1"/>
      </rPr>
      <t>HỔ</t>
    </r>
  </si>
  <si>
    <r>
      <t xml:space="preserve">Độc </t>
    </r>
    <r>
      <rPr>
        <b/>
        <u val="singleAccounting"/>
        <sz val="12"/>
        <color theme="1"/>
        <rFont val="Times New Roman"/>
        <family val="1"/>
      </rPr>
      <t>lập - Tự do - Hạnh</t>
    </r>
    <r>
      <rPr>
        <b/>
        <sz val="12"/>
        <color theme="1"/>
        <rFont val="Times New Roman"/>
        <family val="1"/>
      </rPr>
      <t xml:space="preserve"> phúc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</si>
</sst>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2">
    <numFmt numFmtId="41" formatCode="_-* #,##0_-;\-* #,##0_-;_-* &quot;-&quot;_-;_-@_-"/>
    <numFmt numFmtId="43" formatCode="_-* #,##0.00_-;\-* #,##0.00_-;_-* &quot;-&quot;??_-;_-@_-"/>
    <numFmt numFmtId="164" formatCode="_-* #,##0\ _₫_-;\-* #,##0\ _₫_-;_-* &quot;-&quot;\ _₫_-;_-@_-"/>
    <numFmt numFmtId="165" formatCode="_-* #,##0.00\ _₫_-;\-* #,##0.00\ _₫_-;_-* &quot;-&quot;??\ _₫_-;_-@_-"/>
    <numFmt numFmtId="166" formatCode="&quot;$&quot;#,##0_);\(&quot;$&quot;#,##0\)"/>
    <numFmt numFmtId="167" formatCode="&quot;$&quot;#,##0_);[Red]\(&quot;$&quot;#,##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0.000"/>
    <numFmt numFmtId="173" formatCode="#,##0.0"/>
    <numFmt numFmtId="174" formatCode="#,##0.0000"/>
    <numFmt numFmtId="175" formatCode="_(* #,##0_);_(* \(#,##0\);_(* &quot;-&quot;??_);_(@_)"/>
    <numFmt numFmtId="176" formatCode="0.000"/>
    <numFmt numFmtId="177" formatCode="_(* #,##0.0_);_(* \(#,##0.0\);_(* &quot;-&quot;??_);_(@_)"/>
    <numFmt numFmtId="178" formatCode="_(* #,##0.000_);_(* \(#,##0.000\);_(* &quot;-&quot;??_);_(@_)"/>
    <numFmt numFmtId="179" formatCode="_-* #,##0.00\ _F_-;\-* #,##0.00\ _F_-;_-* &quot;-&quot;??\ _F_-;_-@_-"/>
    <numFmt numFmtId="180" formatCode="_(* #,##0.0000_);_(* \(#,##0.0000\);_(* &quot;-&quot;??_);_(@_)"/>
    <numFmt numFmtId="181" formatCode="_-&quot;$&quot;* #,##0_-;\-&quot;$&quot;* #,##0_-;_-&quot;$&quot;* &quot;-&quot;_-;_-@_-"/>
    <numFmt numFmtId="182" formatCode="#,##0.0;[Red]\-#,##0.0"/>
    <numFmt numFmtId="183" formatCode="##.##%"/>
    <numFmt numFmtId="184" formatCode="General_)"/>
    <numFmt numFmtId="185" formatCode="&quot;\&quot;#,##0.00;[Red]&quot;\&quot;&quot;\&quot;&quot;\&quot;&quot;\&quot;&quot;\&quot;&quot;\&quot;\-#,##0.00"/>
    <numFmt numFmtId="186" formatCode="&quot;\&quot;#,##0;[Red]&quot;\&quot;&quot;\&quot;\-#,##0"/>
    <numFmt numFmtId="187" formatCode="_ * #,##0.00_ ;_ * \-#,##0.00_ ;_ * &quot;-&quot;??_ ;_ @_ "/>
    <numFmt numFmtId="188" formatCode="_ * #,##0_ ;_ * \-#,##0_ ;_ * &quot;-&quot;_ ;_ @_ "/>
    <numFmt numFmtId="189" formatCode="_-* #,##0\ _F_-;\-* #,##0\ _F_-;_-* &quot;-&quot;\ _F_-;_-@_-"/>
    <numFmt numFmtId="190" formatCode="_-* #,##0\ &quot;TL&quot;_-;\-* #,##0\ &quot;TL&quot;_-;_-* &quot;-&quot;\ &quot;TL&quot;_-;_-@_-"/>
    <numFmt numFmtId="191" formatCode="_-* #,##0\ &quot;F&quot;_-;\-* #,##0\ &quot;F&quot;_-;_-* &quot;-&quot;\ &quot;F&quot;_-;_-@_-"/>
    <numFmt numFmtId="192" formatCode="_-* #,##0\ &quot;$&quot;_-;\-* #,##0\ &quot;$&quot;_-;_-* &quot;-&quot;\ &quot;$&quot;_-;_-@_-"/>
    <numFmt numFmtId="193" formatCode="_-&quot;€&quot;* #,##0_-;\-&quot;€&quot;* #,##0_-;_-&quot;€&quot;* &quot;-&quot;_-;_-@_-"/>
    <numFmt numFmtId="194" formatCode="#,##0.0000;[Red]#,##0.0000"/>
    <numFmt numFmtId="195" formatCode="_-* #,##0\ &quot;€&quot;_-;\-* #,##0\ &quot;€&quot;_-;_-* &quot;-&quot;\ &quot;€&quot;_-;_-@_-"/>
    <numFmt numFmtId="196" formatCode="_-&quot;TL&quot;* #,##0_-;\-&quot;TL&quot;* #,##0_-;_-&quot;TL&quot;* &quot;-&quot;_-;_-@_-"/>
    <numFmt numFmtId="197" formatCode="_-&quot;ñ&quot;* #,##0_-;\-&quot;ñ&quot;* #,##0_-;_-&quot;ñ&quot;* &quot;-&quot;_-;_-@_-"/>
    <numFmt numFmtId="198" formatCode="0.0000"/>
    <numFmt numFmtId="199" formatCode="_-* #,##0.00\ _V_N_D_-;\-* #,##0.00\ _V_N_D_-;_-* &quot;-&quot;??\ _V_N_D_-;_-@_-"/>
    <numFmt numFmtId="200" formatCode="_-* #,##0.00\ _T_L_-;\-* #,##0.00\ _T_L_-;_-* &quot;-&quot;??\ _T_L_-;_-@_-"/>
    <numFmt numFmtId="201" formatCode="&quot;€&quot;#,##0;[Red]\-&quot;€&quot;#,##0"/>
    <numFmt numFmtId="202" formatCode="_-* #,##0.00\ _€_-;\-* #,##0.00\ _€_-;_-* &quot;-&quot;??\ _€_-;_-@_-"/>
    <numFmt numFmtId="203" formatCode="_ * #,##0.00_)\ _$_ ;_ * \(#,##0.00\)\ _$_ ;_ * &quot;-&quot;??_)\ _$_ ;_ @_ "/>
    <numFmt numFmtId="204" formatCode="_-* #,##0.00\ _ñ_-;\-* #,##0.00\ _ñ_-;_-* &quot;-&quot;??\ _ñ_-;_-@_-"/>
    <numFmt numFmtId="205" formatCode="0.00000"/>
    <numFmt numFmtId="206" formatCode="#,##0\ &quot;F&quot;;\-#,##0\ &quot;F&quot;"/>
    <numFmt numFmtId="207" formatCode="#,##0.00\ &quot;F&quot;;\-#,##0.00\ &quot;F&quot;"/>
    <numFmt numFmtId="208" formatCode="_-* #,##0.00000000_-;\-* #,##0.00000000_-;_-* &quot;-&quot;??_-;_-@_-"/>
    <numFmt numFmtId="209" formatCode="_(&quot;€&quot;\ * #,##0_);_(&quot;€&quot;\ * \(#,##0\);_(&quot;€&quot;\ * &quot;-&quot;_);_(@_)"/>
    <numFmt numFmtId="210" formatCode="_(&quot;$&quot;\ * #,##0_);_(&quot;$&quot;\ * \(#,##0\);_(&quot;$&quot;\ * &quot;-&quot;_);_(@_)"/>
    <numFmt numFmtId="211" formatCode="_ * #,##0_)\ &quot;€&quot;_ ;_ * \(#,##0\)\ &quot;€&quot;_ ;_ * &quot;-&quot;_)\ &quot;€&quot;_ ;_ @_ "/>
    <numFmt numFmtId="212" formatCode="_-* #,##0\ &quot;ñ&quot;_-;\-* #,##0\ &quot;ñ&quot;_-;_-* &quot;-&quot;\ &quot;ñ&quot;_-;_-@_-"/>
    <numFmt numFmtId="213" formatCode="0.0000000"/>
    <numFmt numFmtId="214" formatCode="_-* #,##0\ _V_N_D_-;\-* #,##0\ _V_N_D_-;_-* &quot;-&quot;\ _V_N_D_-;_-@_-"/>
    <numFmt numFmtId="215" formatCode="_-* #,##0\ _T_L_-;\-* #,##0\ _T_L_-;_-* &quot;-&quot;\ _T_L_-;_-@_-"/>
    <numFmt numFmtId="216" formatCode="_-* #,##0\ _$_-;\-* #,##0\ _$_-;_-* &quot;-&quot;\ _$_-;_-@_-"/>
    <numFmt numFmtId="217" formatCode="_-* #,##0\ _€_-;\-* #,##0\ _€_-;_-* &quot;-&quot;\ _€_-;_-@_-"/>
    <numFmt numFmtId="218" formatCode="_ * #,##0_)\ _$_ ;_ * \(#,##0\)\ _$_ ;_ * &quot;-&quot;_)\ _$_ ;_ @_ "/>
    <numFmt numFmtId="219" formatCode="_-* #,##0\ _ñ_-;\-* #,##0\ _ñ_-;_-* &quot;-&quot;\ _ñ_-;_-@_-"/>
    <numFmt numFmtId="220" formatCode="0.000000"/>
    <numFmt numFmtId="221" formatCode="#,##0.0_);[Red]\(#,##0.0\)"/>
    <numFmt numFmtId="222" formatCode="_ &quot;\&quot;* #,##0_ ;_ &quot;\&quot;* \-#,##0_ ;_ &quot;\&quot;* &quot;-&quot;_ ;_ @_ "/>
    <numFmt numFmtId="223" formatCode="_-&quot;$&quot;* ###&quot;$&quot;0&quot;.&quot;00_-;\-&quot;$&quot;* ###&quot;$&quot;0&quot;.&quot;00_-;_-&quot;$&quot;* &quot;-&quot;??_-;_-@_-"/>
    <numFmt numFmtId="224" formatCode="_-&quot;$&quot;* #,##0.00_-;\-&quot;$&quot;* #,##0.00_-;_-&quot;$&quot;* &quot;-&quot;??_-;_-@_-"/>
    <numFmt numFmtId="225" formatCode="#,##0\ &quot;€&quot;;[Red]\-#,##0\ &quot;€&quot;"/>
    <numFmt numFmtId="226" formatCode="_-&quot;€&quot;* #,##0.00_-;\-&quot;€&quot;* #,##0.00_-;_-&quot;€&quot;* &quot;-&quot;??_-;_-@_-"/>
    <numFmt numFmtId="227" formatCode="&quot;\&quot;#,##0.00;[Red]&quot;\&quot;\-#,##0.00"/>
    <numFmt numFmtId="228" formatCode="&quot;\&quot;#,##0;[Red]&quot;\&quot;\-#,##0"/>
    <numFmt numFmtId="229" formatCode="&quot;$&quot;#&quot;$&quot;##0_);\(&quot;$&quot;#&quot;$&quot;##0\)"/>
    <numFmt numFmtId="230" formatCode="_ &quot;TL&quot;* #,##0_ ;_ &quot;TL&quot;* \-#,##0_ ;_ &quot;TL&quot;* &quot;-&quot;_ ;_ @_ "/>
    <numFmt numFmtId="231" formatCode="_ &quot;\&quot;* #,##0.00_ ;_ &quot;\&quot;* \-#,##0.00_ ;_ &quot;\&quot;* &quot;-&quot;??_ ;_ @_ "/>
    <numFmt numFmtId="232" formatCode="#,##0.0_);\(#,##0.0\)"/>
    <numFmt numFmtId="233" formatCode="0.0%;[Red]\(0.0%\)"/>
    <numFmt numFmtId="234" formatCode="_ * #,##0.00_)&quot;£&quot;_ ;_ * \(#,##0.00\)&quot;£&quot;_ ;_ * &quot;-&quot;??_)&quot;£&quot;_ ;_ @_ "/>
    <numFmt numFmtId="235" formatCode="_-&quot;£&quot;* #,##0.00_-;\-&quot;£&quot;* #,##0.00_-;_-&quot;£&quot;* &quot;-&quot;??_-;_-@_-"/>
    <numFmt numFmtId="236" formatCode="0.0%;\(0.0%\)"/>
    <numFmt numFmtId="237" formatCode="##,###.##"/>
    <numFmt numFmtId="238" formatCode="_-* #,##0.00\ &quot;F&quot;_-;\-* #,##0.00\ &quot;F&quot;_-;_-* &quot;-&quot;??\ &quot;F&quot;_-;_-@_-"/>
    <numFmt numFmtId="239" formatCode="#0.##"/>
    <numFmt numFmtId="240" formatCode="0.000_)"/>
    <numFmt numFmtId="241" formatCode="#,##0;\(#,##0\)"/>
    <numFmt numFmtId="242" formatCode="_ &quot;R&quot;\ * #,##0_ ;_ &quot;R&quot;\ * \-#,##0_ ;_ &quot;R&quot;\ * &quot;-&quot;_ ;_ @_ "/>
    <numFmt numFmtId="243" formatCode="_-* ###&quot;€&quot;0&quot;.&quot;00_-;\-* ###&quot;€&quot;0&quot;.&quot;00_-;_-* &quot;-&quot;??_-;_-@_-"/>
    <numFmt numFmtId="244" formatCode="##,##0%"/>
    <numFmt numFmtId="245" formatCode="#,###%"/>
    <numFmt numFmtId="246" formatCode="##.##"/>
    <numFmt numFmtId="247" formatCode="###,###"/>
    <numFmt numFmtId="248" formatCode="###.###"/>
    <numFmt numFmtId="249" formatCode="##,###.####"/>
    <numFmt numFmtId="250" formatCode="_-&quot;$&quot;\ * #,##0.00_-;\-&quot;$&quot;\ * #,##0.00_-;_-&quot;$&quot;\ * &quot;-&quot;??_-;_-@_-"/>
    <numFmt numFmtId="251" formatCode="\$#,##0\ ;\(\$#,##0\)"/>
    <numFmt numFmtId="252" formatCode="\t0.00%"/>
    <numFmt numFmtId="253" formatCode="##,##0.##"/>
    <numFmt numFmtId="254" formatCode="\U\S\$#,##0.00;\(\U\S\$#,##0.00\)"/>
    <numFmt numFmtId="255" formatCode="_-* #,##0\ _D_M_-;\-* #,##0\ _D_M_-;_-* &quot;-&quot;\ _D_M_-;_-@_-"/>
    <numFmt numFmtId="256" formatCode="_-* #,##0.00\ _D_M_-;\-* #,##0.00\ _D_M_-;_-* &quot;-&quot;??\ _D_M_-;_-@_-"/>
    <numFmt numFmtId="257" formatCode="&quot;$&quot;###&quot;$&quot;0&quot;.&quot;00_);\(&quot;$&quot;###&quot;$&quot;0&quot;.&quot;00\)"/>
    <numFmt numFmtId="258" formatCode="\t#\ ??/??"/>
    <numFmt numFmtId="259" formatCode="#."/>
    <numFmt numFmtId="260" formatCode="_-[$€]* #,##0.00_-;\-[$€]* #,##0.00_-;_-[$€]* &quot;-&quot;??_-;_-@_-"/>
    <numFmt numFmtId="261" formatCode="#.00"/>
    <numFmt numFmtId="262" formatCode="_ * #,##0.00_)_d_ ;_ * \(#,##0.00\)_d_ ;_ * &quot;-&quot;??_)_d_ ;_ @_ "/>
    <numFmt numFmtId="263" formatCode="#,##0\ &quot;Rp&quot;_);\(#,##0\ &quot;Rp&quot;\)"/>
    <numFmt numFmtId="264" formatCode="#,##0\ &quot;$&quot;_);\(#,##0\ &quot;$&quot;\)"/>
    <numFmt numFmtId="265" formatCode=";;;"/>
    <numFmt numFmtId="266" formatCode="0.0"/>
    <numFmt numFmtId="267" formatCode="#,###"/>
    <numFmt numFmtId="268" formatCode="_-&quot;Rp&quot;* #,##0_-;\-&quot;Rp&quot;* #,##0_-;_-&quot;Rp&quot;* &quot;-&quot;_-;_-@_-"/>
    <numFmt numFmtId="269" formatCode="_-&quot;Rp&quot;* #,##0.00_-;\-&quot;Rp&quot;* #,##0.00_-;_-&quot;Rp&quot;* &quot;-&quot;??_-;_-@_-"/>
    <numFmt numFmtId="270" formatCode="&quot;$&quot;#.00"/>
    <numFmt numFmtId="271" formatCode="&quot;\&quot;#,##0;[Red]\-&quot;\&quot;#,##0"/>
    <numFmt numFmtId="272" formatCode="&quot;\&quot;#,##0.00;\-&quot;\&quot;#,##0.00"/>
    <numFmt numFmtId="273" formatCode="&quot;$&quot;\ #,##0;[Red]\-&quot;$&quot;\ #,##0"/>
    <numFmt numFmtId="274" formatCode="&quot;$&quot;\ #,##0.00;[Red]\-&quot;$&quot;\ #,##0.00"/>
    <numFmt numFmtId="275" formatCode="0.00000000"/>
    <numFmt numFmtId="276" formatCode="#,##0.000_);\(#,##0.000\)"/>
    <numFmt numFmtId="277" formatCode="%#.00"/>
    <numFmt numFmtId="278" formatCode="_-&quot;$&quot;\ * #,##0_-;\-&quot;$&quot;\ * #,##0_-;_-&quot;$&quot;\ * &quot;-&quot;_-;_-@_-"/>
    <numFmt numFmtId="279" formatCode="#"/>
    <numFmt numFmtId="280" formatCode="#,##0.00\ &quot;F&quot;;[Red]\-#,##0.00\ &quot;F&quot;"/>
    <numFmt numFmtId="281" formatCode="&quot;£&quot;#,##0;[Red]\-&quot;£&quot;#,##0"/>
    <numFmt numFmtId="282" formatCode="_-* #,##0.0\ _F_-;\-* #,##0.0\ _F_-;_-* &quot;-&quot;??\ _F_-;_-@_-"/>
    <numFmt numFmtId="283" formatCode="_-* ###,0&quot;.&quot;00\ _F_B_-;\-* ###,0&quot;.&quot;00\ _F_B_-;_-* &quot;-&quot;??\ _F_B_-;_-@_-"/>
    <numFmt numFmtId="284" formatCode="_(* #.##0.00_);_(* \(#.##0.00\);_(* &quot;-&quot;??_);_(@_)"/>
    <numFmt numFmtId="285" formatCode="&quot;£&quot;#,##0;\-&quot;£&quot;#,##0"/>
    <numFmt numFmtId="286" formatCode="_ * #,##0_ ;_ * \-#,##0_ ;_ * &quot;-&quot;??_ ;_ @_ "/>
    <numFmt numFmtId="287" formatCode="_-* #,##0\ &quot;Δρχ&quot;_-;\-* #,##0\ &quot;Δρχ&quot;_-;_-* &quot;-&quot;\ &quot;Δρχ&quot;_-;_-@_-"/>
    <numFmt numFmtId="288" formatCode="#,##0.0;\-#,##0.0"/>
    <numFmt numFmtId="289" formatCode="#,##0.00\ \ \ \ "/>
    <numFmt numFmtId="290" formatCode="_(* #,##0.00_ \ \ *);_(* \(#,##0.00\);_(* &quot;-&quot;??_);_(@_)"/>
    <numFmt numFmtId="291" formatCode="#,##0.00\ \ "/>
    <numFmt numFmtId="292" formatCode="&quot;\&quot;#,##0;&quot;\&quot;\-#,##0"/>
    <numFmt numFmtId="293" formatCode="_ * #.##._ ;_ * \-#.##._ ;_ * &quot;-&quot;??_ ;_ @_ⴆ"/>
    <numFmt numFmtId="294" formatCode="#,##0\ &quot;F&quot;;[Red]\-#,##0\ &quot;F&quot;"/>
    <numFmt numFmtId="295" formatCode="&quot;L.&quot;\ #,##0;[Red]\-&quot;L.&quot;\ #,##0"/>
    <numFmt numFmtId="296" formatCode="&quot;L.&quot;\ #,##0.00;[Red]\-&quot;L.&quot;\ #,##0.00"/>
    <numFmt numFmtId="297" formatCode="#,##0\ &quot;£&quot;_);\(#,##0\ &quot;£&quot;\)"/>
    <numFmt numFmtId="298" formatCode="_-* #,##0\ &quot;DM&quot;_-;\-* #,##0\ &quot;DM&quot;_-;_-* &quot;-&quot;\ &quot;DM&quot;_-;_-@_-"/>
    <numFmt numFmtId="299" formatCode="_-* #,##0.00\ &quot;DM&quot;_-;\-* #,##0.00\ &quot;DM&quot;_-;_-* &quot;-&quot;??\ &quot;DM&quot;_-;_-@_-"/>
    <numFmt numFmtId="300" formatCode="0.00&quot; tû ®ång&quot;"/>
    <numFmt numFmtId="301" formatCode="&quot;&lt;=&quot;0"/>
    <numFmt numFmtId="302" formatCode="&quot;Tx&quot;0.000&quot;%&quot;"/>
    <numFmt numFmtId="303" formatCode="&quot;(T+C)x&quot;0.0&quot;%&quot;"/>
    <numFmt numFmtId="304" formatCode="&quot;(T+GT)x&quot;0.0&quot;%&quot;"/>
    <numFmt numFmtId="305" formatCode="&quot;Zx&quot;0.0&quot;%&quot;"/>
    <numFmt numFmtId="306" formatCode="0.0000000000"/>
    <numFmt numFmtId="307" formatCode="&quot;G/1.1x&quot;0&quot;%x1.1&quot;"/>
    <numFmt numFmtId="308" formatCode="_(* #,##0.00000_);_(* \(#,##0.00000\);_(* &quot;-&quot;??_);_(@_)"/>
    <numFmt numFmtId="309" formatCode="&quot;- HÖ sè phô cÊp  KV:   &quot;0.0"/>
    <numFmt numFmtId="310" formatCode="_(* #,##0.000000_);_(* \(#,##0.000000\);_(* &quot;-&quot;??_);_(@_)"/>
    <numFmt numFmtId="311" formatCode="&quot;Tæng møc ®Çu t­: &quot;0.000\ &quot;tû&quot;"/>
    <numFmt numFmtId="312" formatCode="&quot;Tæng møc ®Çu t­: &quot;0.00\ &quot;tû&quot;"/>
    <numFmt numFmtId="313" formatCode="&quot;Gi¸ trÞ XL ®Ó tra: &quot;0.000\ &quot;tû&quot;"/>
    <numFmt numFmtId="314" formatCode="&quot;Tæng møc ®Çu t­: &quot;0.000000\ &quot;tû&quot;"/>
    <numFmt numFmtId="315" formatCode="&quot;V&quot;0"/>
    <numFmt numFmtId="316" formatCode="#,##0.00000"/>
    <numFmt numFmtId="317" formatCode="&quot;(XL+QL+TV+§B+CK)*&quot;0&quot;%&quot;"/>
    <numFmt numFmtId="318" formatCode="&quot;(XL+QL+TV+§B+CK)*&quot;0.0&quot;%&quot;"/>
    <numFmt numFmtId="319" formatCode="0.0%"/>
    <numFmt numFmtId="320" formatCode="&quot;NC*&quot;0.0%"/>
    <numFmt numFmtId="321" formatCode="&quot;(T+C)*&quot;0.0%"/>
    <numFmt numFmtId="322" formatCode="#,##0.000000"/>
    <numFmt numFmtId="323" formatCode="&quot;TT*&quot;0.0%"/>
    <numFmt numFmtId="324" formatCode="&quot;(TT+GT)*&quot;0.0%"/>
    <numFmt numFmtId="325" formatCode="&quot;Gi¸ gãi thÇu TVTK ®Ó tra: &quot;0.000\ &quot;tû&quot;"/>
    <numFmt numFmtId="326" formatCode="&quot;Gi¸ gãi thÇu TVGS ®Ó tra: &quot;0.000\ &quot;tû&quot;"/>
    <numFmt numFmtId="327" formatCode="&quot;Chi phÝ kh¶o s¸t (tr­íc thuÕ): &quot;0.000\ &quot;tû&quot;"/>
    <numFmt numFmtId="328" formatCode="&quot;Q&quot;0"/>
    <numFmt numFmtId="329" formatCode="&quot;K&quot;0"/>
    <numFmt numFmtId="330" formatCode="#,##0.00;[Red]#,##0.00"/>
    <numFmt numFmtId="331" formatCode="&quot;A&quot;0"/>
    <numFmt numFmtId="332" formatCode="&quot;B&quot;0"/>
    <numFmt numFmtId="333" formatCode="&quot;(TT+GT+TL)*&quot;0.0%"/>
  </numFmts>
  <fonts count="347">
    <font>
      <sz val="12"/>
      <color theme="1"/>
      <name val=".VnTime"/>
      <family val="2"/>
    </font>
    <font>
      <sz val="11"/>
      <color theme="1"/>
      <name val="Arial"/>
      <family val="2"/>
      <scheme val="minor"/>
    </font>
    <font>
      <b/>
      <sz val="18"/>
      <color indexed="56"/>
      <name val="Cambria"/>
      <family val="2"/>
    </font>
    <font>
      <sz val="12"/>
      <color indexed="10"/>
      <name val=".VnTime"/>
      <family val="2"/>
    </font>
    <font>
      <sz val="11"/>
      <color indexed="8"/>
      <name val=".VnTime"/>
      <family val="2"/>
    </font>
    <font>
      <b/>
      <sz val="11"/>
      <color indexed="8"/>
      <name val=".VnTime"/>
      <family val="2"/>
    </font>
    <font>
      <sz val="12"/>
      <name val=".VnTime"/>
      <family val="2"/>
    </font>
    <font>
      <b/>
      <sz val="16"/>
      <name val=".VnTimeH"/>
      <family val="2"/>
    </font>
    <font>
      <i/>
      <sz val="11"/>
      <name val=".VnTime"/>
      <family val="2"/>
    </font>
    <font>
      <i/>
      <sz val="10"/>
      <name val=".VnTime"/>
      <family val="2"/>
    </font>
    <font>
      <b/>
      <sz val="10"/>
      <name val=".VnTime"/>
      <family val="2"/>
    </font>
    <font>
      <sz val="12"/>
      <name val="VNtimes new roman"/>
      <family val="2"/>
    </font>
    <font>
      <b/>
      <i/>
      <sz val="12"/>
      <name val=".VnTime"/>
      <family val="2"/>
    </font>
    <font>
      <b/>
      <sz val="9"/>
      <name val=".VnTime"/>
      <family val="2"/>
    </font>
    <font>
      <sz val="10"/>
      <name val=".VnTime"/>
      <family val="2"/>
    </font>
    <font>
      <sz val="10"/>
      <name val="Arial"/>
      <family val="2"/>
    </font>
    <font>
      <sz val="9"/>
      <name val=".VnTime"/>
      <family val="2"/>
    </font>
    <font>
      <sz val="11"/>
      <name val=".VnTime"/>
      <family val="2"/>
    </font>
    <font>
      <sz val="8"/>
      <name val=".VnTime"/>
      <family val="2"/>
    </font>
    <font>
      <sz val="10"/>
      <name val=".VnArial"/>
      <family val="2"/>
    </font>
    <font>
      <b/>
      <sz val="11"/>
      <name val=".VnTimeH"/>
      <family val="2"/>
    </font>
    <font>
      <b/>
      <sz val="12"/>
      <name val=".VnTime"/>
      <family val="2"/>
    </font>
    <font>
      <sz val="11"/>
      <name val=".VnTimeH"/>
      <family val="2"/>
    </font>
    <font>
      <sz val="12"/>
      <name val="VNI-Times"/>
    </font>
    <font>
      <sz val="12"/>
      <name val=".VnTime"/>
      <family val="2"/>
    </font>
    <font>
      <sz val="8"/>
      <name val=".VnArial"/>
      <family val="2"/>
    </font>
    <font>
      <sz val="12"/>
      <name val="???"/>
      <family val="3"/>
      <charset val="129"/>
    </font>
    <font>
      <b/>
      <sz val="10"/>
      <name val="SVNtimes new roman"/>
      <family val="2"/>
    </font>
    <font>
      <sz val="9"/>
      <name val="ﾀﾞｯﾁ"/>
      <family val="3"/>
      <charset val="128"/>
    </font>
    <font>
      <sz val="12"/>
      <name val="新細明體"/>
      <family val="3"/>
      <charset val="136"/>
    </font>
    <font>
      <sz val="10"/>
      <name val="Helv"/>
      <family val="2"/>
    </font>
    <font>
      <sz val="10"/>
      <name val="AngsanaUPC"/>
      <family val="1"/>
    </font>
    <font>
      <sz val="12"/>
      <name val="???"/>
    </font>
    <font>
      <sz val="10"/>
      <name val="??"/>
      <family val="3"/>
      <charset val="129"/>
    </font>
    <font>
      <u/>
      <sz val="11"/>
      <color indexed="12"/>
      <name val="?? ?????"/>
      <family val="3"/>
    </font>
    <font>
      <u/>
      <sz val="11"/>
      <color indexed="36"/>
      <name val="??"/>
      <family val="1"/>
    </font>
    <font>
      <sz val="12"/>
      <name val="????"/>
      <family val="1"/>
      <charset val="136"/>
    </font>
    <font>
      <sz val="12"/>
      <name val="Courier"/>
      <family val="3"/>
    </font>
    <font>
      <sz val="12"/>
      <name val="|??¢¥¢¬¨Ï"/>
      <family val="1"/>
      <charset val="129"/>
    </font>
    <font>
      <sz val="14"/>
      <name val="뼻뮝"/>
      <family val="3"/>
      <charset val="129"/>
    </font>
    <font>
      <sz val="14"/>
      <name val="??"/>
      <family val="3"/>
      <charset val="129"/>
    </font>
    <font>
      <sz val="11"/>
      <name val=" "/>
      <family val="3"/>
      <charset val="136"/>
    </font>
    <font>
      <sz val="10"/>
      <name val="MS Sans Serif"/>
      <family val="2"/>
    </font>
    <font>
      <sz val="10"/>
      <color indexed="8"/>
      <name val="Arial"/>
      <family val="2"/>
    </font>
    <font>
      <sz val="12"/>
      <name val="Times New Roman"/>
      <family val="1"/>
    </font>
    <font>
      <sz val="10"/>
      <name val="VNI-Times"/>
    </font>
    <font>
      <sz val="10"/>
      <name val="Helv"/>
      <charset val="204"/>
    </font>
    <font>
      <sz val="11"/>
      <name val="VNtimes new roman"/>
      <family val="2"/>
    </font>
    <font>
      <sz val="10"/>
      <name val="VNtimes new roman"/>
      <family val="2"/>
    </font>
    <font>
      <sz val="13"/>
      <name val=".VnTime"/>
      <family val="2"/>
    </font>
    <font>
      <sz val="12"/>
      <name val="VNI-Helve"/>
    </font>
    <font>
      <sz val="9"/>
      <name val="Arial"/>
      <family val="2"/>
    </font>
    <font>
      <sz val="11"/>
      <name val="‚l‚r ‚oƒSƒVƒbƒN"/>
      <family val="3"/>
      <charset val="128"/>
    </font>
    <font>
      <sz val="14"/>
      <name val="AngsanaUPC"/>
      <family val="1"/>
    </font>
    <font>
      <sz val="12"/>
      <name val="???"/>
      <family val="1"/>
      <charset val="129"/>
    </font>
    <font>
      <sz val="11"/>
      <name val="–¾’©"/>
      <family val="1"/>
      <charset val="128"/>
    </font>
    <font>
      <sz val="14"/>
      <name val="Terminal"/>
      <family val="3"/>
      <charset val="128"/>
    </font>
    <font>
      <sz val="14"/>
      <name val="VnTime"/>
      <family val="2"/>
    </font>
    <font>
      <sz val="11"/>
      <name val="돋움"/>
      <family val="3"/>
      <charset val="129"/>
    </font>
    <font>
      <b/>
      <u/>
      <sz val="14"/>
      <color indexed="8"/>
      <name val=".VnBook-AntiquaH"/>
      <family val="2"/>
    </font>
    <font>
      <sz val="16"/>
      <name val="VNarial"/>
      <family val="2"/>
    </font>
    <font>
      <b/>
      <sz val="10"/>
      <name val=".VnTimeh"/>
      <family val="2"/>
    </font>
    <font>
      <b/>
      <sz val="10"/>
      <name val=".VnArial"/>
      <family val="2"/>
    </font>
    <font>
      <sz val="12"/>
      <name val="???"/>
      <family val="3"/>
    </font>
    <font>
      <sz val="12"/>
      <name val="바탕체"/>
      <family val="3"/>
    </font>
    <font>
      <b/>
      <i/>
      <sz val="10"/>
      <name val=".VnTimeH"/>
      <family val="2"/>
    </font>
    <font>
      <sz val="10"/>
      <name val="VnTimes"/>
    </font>
    <font>
      <sz val="13"/>
      <name val="VNtimes new roman"/>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1"/>
      <color indexed="9"/>
      <name val="Calibri"/>
      <family val="2"/>
    </font>
    <font>
      <sz val="14"/>
      <name val=".VnTime"/>
      <family val="2"/>
    </font>
    <font>
      <sz val="12"/>
      <name val="¹UAAA¼"/>
      <family val="3"/>
      <charset val="129"/>
    </font>
    <font>
      <sz val="11"/>
      <color indexed="8"/>
      <name val="Calibri"/>
      <family val="2"/>
      <charset val="163"/>
    </font>
    <font>
      <sz val="11"/>
      <color indexed="9"/>
      <name val="Calibri"/>
      <family val="2"/>
      <charset val="163"/>
    </font>
    <font>
      <sz val="12"/>
      <name val="¹ÙÅÁÃ¼"/>
      <charset val="129"/>
    </font>
    <font>
      <sz val="9"/>
      <name val="ＭＳ ゴシック"/>
      <family val="3"/>
      <charset val="128"/>
    </font>
    <font>
      <sz val="8"/>
      <name val="Times New Roman"/>
      <family val="1"/>
    </font>
    <font>
      <sz val="11"/>
      <name val="VNI-Times"/>
    </font>
    <font>
      <sz val="11"/>
      <color indexed="20"/>
      <name val="Calibri"/>
      <family val="2"/>
    </font>
    <font>
      <b/>
      <i/>
      <sz val="14"/>
      <name val="VNTime"/>
      <family val="2"/>
    </font>
    <font>
      <sz val="11"/>
      <color indexed="10"/>
      <name val="Arial"/>
      <family val="2"/>
    </font>
    <font>
      <sz val="12"/>
      <name val="Tms Rmn"/>
    </font>
    <font>
      <sz val="12"/>
      <name val="System"/>
      <family val="1"/>
      <charset val="129"/>
    </font>
    <font>
      <sz val="10"/>
      <name val="Times New Roman"/>
      <family val="1"/>
    </font>
    <font>
      <sz val="11"/>
      <name val="µ¸¿ò"/>
      <charset val="129"/>
    </font>
    <font>
      <sz val="10"/>
      <name val="±¼¸²A¼"/>
      <family val="3"/>
      <charset val="129"/>
    </font>
    <font>
      <sz val="10"/>
      <name val="Helv"/>
    </font>
    <font>
      <b/>
      <sz val="11"/>
      <color indexed="52"/>
      <name val="Calibri"/>
      <family val="2"/>
    </font>
    <font>
      <b/>
      <sz val="10"/>
      <name val="Helv"/>
    </font>
    <font>
      <b/>
      <sz val="8"/>
      <color indexed="12"/>
      <name val="Arial"/>
      <family val="2"/>
    </font>
    <font>
      <sz val="8"/>
      <color indexed="8"/>
      <name val="Arial"/>
      <family val="2"/>
    </font>
    <font>
      <sz val="8"/>
      <name val="SVNtimes new roman"/>
      <family val="2"/>
    </font>
    <font>
      <b/>
      <sz val="11"/>
      <color indexed="9"/>
      <name val="Calibri"/>
      <family val="2"/>
    </font>
    <font>
      <sz val="11"/>
      <name val="VNbook-Antiqua"/>
      <family val="2"/>
    </font>
    <font>
      <sz val="10"/>
      <name val="VNI-Aptima"/>
    </font>
    <font>
      <sz val="11"/>
      <name val="Tms Rmn"/>
    </font>
    <font>
      <sz val="10"/>
      <name val="Arial"/>
      <family val="2"/>
      <charset val="163"/>
    </font>
    <font>
      <sz val="8"/>
      <name val="VNarial"/>
      <family val="2"/>
    </font>
    <font>
      <sz val="11"/>
      <name val="Times New Roman"/>
      <family val="1"/>
    </font>
    <font>
      <sz val="10"/>
      <name val="VNarial"/>
      <family val="2"/>
    </font>
    <font>
      <sz val="10"/>
      <name val="Times New Roman"/>
      <family val="1"/>
      <charset val="163"/>
    </font>
    <font>
      <sz val="10"/>
      <name val="MS Serif"/>
      <family val="1"/>
    </font>
    <font>
      <sz val="10"/>
      <name val="Courier"/>
      <family val="3"/>
    </font>
    <font>
      <b/>
      <sz val="10"/>
      <name val="VNI-Helve-Condense"/>
    </font>
    <font>
      <sz val="11"/>
      <name val="VNcentury Gothic"/>
      <family val="2"/>
    </font>
    <font>
      <b/>
      <sz val="15"/>
      <name val="VNcentury Gothic"/>
      <family val="2"/>
    </font>
    <font>
      <sz val="12"/>
      <name val="SVNtimes new roman"/>
      <family val="2"/>
    </font>
    <font>
      <sz val="10"/>
      <name val="SVNtimes new roman"/>
      <family val="2"/>
    </font>
    <font>
      <b/>
      <sz val="11"/>
      <color indexed="63"/>
      <name val="Calibri"/>
      <family val="2"/>
    </font>
    <font>
      <sz val="11"/>
      <color indexed="62"/>
      <name val="Calibri"/>
      <family val="2"/>
    </font>
    <font>
      <b/>
      <sz val="11"/>
      <name val="VNTimeH"/>
      <family val="2"/>
    </font>
    <font>
      <b/>
      <sz val="15"/>
      <color indexed="56"/>
      <name val="Calibri"/>
      <family val="2"/>
    </font>
    <font>
      <b/>
      <sz val="13"/>
      <color indexed="56"/>
      <name val="Calibri"/>
      <family val="2"/>
    </font>
    <font>
      <b/>
      <sz val="11"/>
      <color indexed="56"/>
      <name val="Calibri"/>
      <family val="2"/>
    </font>
    <font>
      <sz val="10"/>
      <name val="Arial CE"/>
      <charset val="238"/>
    </font>
    <font>
      <i/>
      <sz val="10"/>
      <name val="Times New Roman"/>
      <family val="1"/>
    </font>
    <font>
      <b/>
      <sz val="11"/>
      <color indexed="8"/>
      <name val="Calibri"/>
      <family val="2"/>
      <charset val="163"/>
    </font>
    <font>
      <sz val="10"/>
      <color indexed="16"/>
      <name val="MS Serif"/>
      <family val="1"/>
    </font>
    <font>
      <b/>
      <sz val="1"/>
      <color indexed="8"/>
      <name val="Courier"/>
      <family val="3"/>
    </font>
    <font>
      <i/>
      <sz val="11"/>
      <color indexed="23"/>
      <name val="Calibri"/>
      <family val="2"/>
    </font>
    <font>
      <sz val="1"/>
      <color indexed="8"/>
      <name val="Courier"/>
      <family val="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color indexed="12"/>
      <name val="VNlucida sans"/>
      <family val="2"/>
    </font>
    <font>
      <b/>
      <sz val="16"/>
      <name val="VNlucida sans"/>
      <family val="2"/>
    </font>
    <font>
      <b/>
      <sz val="14"/>
      <color indexed="14"/>
      <name val="VNottawa"/>
      <family val="2"/>
    </font>
    <font>
      <b/>
      <sz val="16"/>
      <color indexed="14"/>
      <name val="VNottawa"/>
      <family val="2"/>
    </font>
    <font>
      <sz val="11"/>
      <color indexed="17"/>
      <name val="Calibri"/>
      <family val="2"/>
    </font>
    <font>
      <sz val="8"/>
      <name val="Arial"/>
      <family val="2"/>
    </font>
    <font>
      <sz val="10"/>
      <name val=".VnArialH"/>
      <family val="2"/>
    </font>
    <font>
      <b/>
      <sz val="12"/>
      <name val=".VnBook-AntiquaH"/>
      <family val="2"/>
    </font>
    <font>
      <b/>
      <sz val="12"/>
      <color indexed="9"/>
      <name val="Tms Rmn"/>
    </font>
    <font>
      <b/>
      <sz val="12"/>
      <name val="Helv"/>
    </font>
    <font>
      <b/>
      <sz val="12"/>
      <name val="Arial"/>
      <family val="2"/>
    </font>
    <font>
      <b/>
      <sz val="12"/>
      <name val="MS Sans Serif"/>
      <family val="2"/>
    </font>
    <font>
      <b/>
      <sz val="18"/>
      <name val="Arial"/>
      <family val="2"/>
    </font>
    <font>
      <b/>
      <sz val="8"/>
      <name val="MS Sans Serif"/>
      <family val="2"/>
    </font>
    <font>
      <sz val="10"/>
      <name val="vnTimesRoman"/>
    </font>
    <font>
      <b/>
      <sz val="14"/>
      <name val=".VnTimeH"/>
      <family val="2"/>
    </font>
    <font>
      <sz val="12"/>
      <name val="??"/>
      <family val="1"/>
      <charset val="129"/>
    </font>
    <font>
      <sz val="10"/>
      <name val=" "/>
      <family val="1"/>
      <charset val="136"/>
    </font>
    <font>
      <sz val="10"/>
      <name val="?? ??"/>
      <family val="1"/>
      <charset val="136"/>
    </font>
    <font>
      <sz val="12"/>
      <name val="Helv"/>
      <family val="2"/>
    </font>
    <font>
      <sz val="10"/>
      <name val="VNI-Helve"/>
    </font>
    <font>
      <u/>
      <sz val="10"/>
      <color indexed="12"/>
      <name val=".VnTime"/>
      <family val="2"/>
    </font>
    <font>
      <u/>
      <sz val="12"/>
      <color indexed="12"/>
      <name val=".VnTime"/>
      <family val="2"/>
    </font>
    <font>
      <u/>
      <sz val="12"/>
      <color indexed="12"/>
      <name val="Arial"/>
      <family val="2"/>
    </font>
    <font>
      <sz val="10"/>
      <name val="VNI-Helve-Condense"/>
    </font>
    <font>
      <b/>
      <sz val="11"/>
      <color indexed="56"/>
      <name val="VNI-Helve-Condense"/>
    </font>
    <font>
      <sz val="10"/>
      <color indexed="16"/>
      <name val="MS Sans Serif"/>
      <family val="2"/>
    </font>
    <font>
      <sz val="11"/>
      <color indexed="52"/>
      <name val="Calibri"/>
      <family val="2"/>
    </font>
    <font>
      <sz val="12"/>
      <color indexed="9"/>
      <name val="Helv"/>
      <family val="2"/>
    </font>
    <font>
      <b/>
      <i/>
      <sz val="12"/>
      <name val=".VnAristote"/>
      <family val="2"/>
    </font>
    <font>
      <b/>
      <sz val="11"/>
      <name val="Helv"/>
    </font>
    <font>
      <sz val="10"/>
      <name val=".VnAvant"/>
      <family val="2"/>
    </font>
    <font>
      <sz val="10"/>
      <name val="VNbook-Antiqua"/>
      <family val="2"/>
    </font>
    <font>
      <sz val="12"/>
      <name val="Arial"/>
      <family val="2"/>
    </font>
    <font>
      <sz val="11"/>
      <color indexed="60"/>
      <name val="Calibri"/>
      <family val="2"/>
    </font>
    <font>
      <sz val="7"/>
      <name val="Small Fonts"/>
      <family val="2"/>
    </font>
    <font>
      <b/>
      <sz val="12"/>
      <name val="VN-NTime"/>
    </font>
    <font>
      <sz val="12"/>
      <name val="???"/>
      <family val="1"/>
    </font>
    <font>
      <sz val="12"/>
      <name val="바탕체"/>
      <family val="1"/>
      <charset val="129"/>
    </font>
    <font>
      <sz val="10"/>
      <name val="VNarial"/>
      <family val="2"/>
    </font>
    <font>
      <sz val="11"/>
      <color indexed="8"/>
      <name val="Times New Roman"/>
      <family val="2"/>
    </font>
    <font>
      <sz val="10"/>
      <name val="VNlucida sans"/>
      <family val="2"/>
    </font>
    <font>
      <b/>
      <sz val="11"/>
      <name val="Arial"/>
      <family val="2"/>
    </font>
    <font>
      <sz val="12"/>
      <color indexed="8"/>
      <name val="Times New Roman"/>
      <family val="1"/>
    </font>
    <font>
      <sz val="12"/>
      <name val="Helv"/>
    </font>
    <font>
      <b/>
      <sz val="10"/>
      <name val="MS Sans Serif"/>
      <family val="2"/>
    </font>
    <font>
      <sz val="8"/>
      <name val="Wingdings"/>
      <charset val="2"/>
    </font>
    <font>
      <sz val="8"/>
      <name val="Helv"/>
    </font>
    <font>
      <sz val="11"/>
      <name val="UVnTime"/>
      <family val="2"/>
    </font>
    <font>
      <b/>
      <sz val="13"/>
      <name val="3C_Times_T"/>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b/>
      <sz val="18"/>
      <color indexed="62"/>
      <name val="Cambria"/>
      <family val="2"/>
      <charset val="163"/>
    </font>
    <font>
      <u/>
      <sz val="12"/>
      <color indexed="12"/>
      <name val="Times New Roman"/>
      <family val="1"/>
    </font>
    <font>
      <sz val="8"/>
      <name val="MS Sans Serif"/>
      <family val="2"/>
    </font>
    <font>
      <b/>
      <sz val="10.5"/>
      <name val=".VnAvantH"/>
      <family val="2"/>
    </font>
    <font>
      <sz val="11"/>
      <color indexed="32"/>
      <name val="VNI-Times"/>
    </font>
    <font>
      <b/>
      <sz val="8"/>
      <color indexed="8"/>
      <name val="Helv"/>
    </font>
    <font>
      <sz val="10"/>
      <name val="Symbol"/>
      <family val="1"/>
      <charset val="2"/>
    </font>
    <font>
      <b/>
      <sz val="10"/>
      <name val="VNI-Univer"/>
    </font>
    <font>
      <sz val="13"/>
      <name val="VNI-Times"/>
    </font>
    <font>
      <sz val="10"/>
      <name val=".VnBook-Antiqua"/>
      <family val="2"/>
    </font>
    <font>
      <sz val="10"/>
      <name val="VNI-Centur"/>
    </font>
    <font>
      <sz val="8"/>
      <name val=".VnHelvetIns"/>
      <family val="2"/>
    </font>
    <font>
      <sz val="12"/>
      <name val=".VnArial"/>
      <family val="2"/>
    </font>
    <font>
      <sz val="11"/>
      <name val=".VnAvant"/>
      <family val="2"/>
    </font>
    <font>
      <b/>
      <sz val="13"/>
      <color indexed="8"/>
      <name val=".VnTimeH"/>
      <family val="2"/>
    </font>
    <font>
      <b/>
      <sz val="11"/>
      <name val="Times New Roman"/>
      <family val="1"/>
    </font>
    <font>
      <sz val="10"/>
      <name val=".VnArial Narrow"/>
      <family val="2"/>
    </font>
    <font>
      <sz val="9.5"/>
      <name val=".VnBlackH"/>
      <family val="2"/>
    </font>
    <font>
      <b/>
      <sz val="10"/>
      <name val=".VnBahamasBH"/>
      <family val="2"/>
    </font>
    <font>
      <b/>
      <sz val="11"/>
      <name val=".VnArialH"/>
      <family val="2"/>
    </font>
    <font>
      <b/>
      <sz val="11"/>
      <color indexed="8"/>
      <name val="Calibri"/>
      <family val="2"/>
    </font>
    <font>
      <b/>
      <sz val="10"/>
      <name val=".VnArialH"/>
      <family val="2"/>
    </font>
    <font>
      <sz val="10"/>
      <color indexed="12"/>
      <name val="Arial"/>
      <family val="2"/>
    </font>
    <font>
      <sz val="9"/>
      <name val="VNswitzerlandCondensed"/>
      <family val="2"/>
    </font>
    <font>
      <sz val="11"/>
      <color indexed="10"/>
      <name val="Calibri"/>
      <family val="2"/>
    </font>
    <font>
      <sz val="10"/>
      <color indexed="8"/>
      <name val="MS Sans Serif"/>
      <family val="2"/>
    </font>
    <font>
      <b/>
      <sz val="8"/>
      <name val="VN Helvetica"/>
    </font>
    <font>
      <b/>
      <sz val="10"/>
      <name val="VN AvantGBook"/>
    </font>
    <font>
      <b/>
      <sz val="16"/>
      <name val=".VnTime"/>
      <family val="2"/>
    </font>
    <font>
      <b/>
      <sz val="14"/>
      <color indexed="17"/>
      <name val=".VnAvantH"/>
      <family val="2"/>
    </font>
    <font>
      <sz val="14"/>
      <name val=".VnArial"/>
      <family val="2"/>
    </font>
    <font>
      <sz val="22"/>
      <name val="ＭＳ 明朝"/>
      <family val="1"/>
      <charset val="128"/>
    </font>
    <font>
      <sz val="16"/>
      <name val="AngsanaUPC"/>
      <family val="3"/>
    </font>
    <font>
      <sz val="12"/>
      <color indexed="8"/>
      <name val="바탕체"/>
      <family val="1"/>
      <charset val="129"/>
    </font>
    <font>
      <sz val="12"/>
      <name val="뼻뮝"/>
      <family val="1"/>
      <charset val="129"/>
    </font>
    <font>
      <sz val="10"/>
      <name val="명조"/>
      <family val="3"/>
      <charset val="129"/>
    </font>
    <font>
      <sz val="10"/>
      <name val="明朝"/>
      <family val="1"/>
      <charset val="128"/>
    </font>
    <font>
      <b/>
      <u/>
      <sz val="14"/>
      <name val=".VnTimeH"/>
      <family val="2"/>
    </font>
    <font>
      <b/>
      <sz val="8"/>
      <name val=".VnTimeH"/>
      <family val="2"/>
    </font>
    <font>
      <b/>
      <sz val="9"/>
      <name val=".VnTimeH"/>
      <family val="2"/>
    </font>
    <font>
      <sz val="8"/>
      <name val=".VnTimeH"/>
      <family val="2"/>
    </font>
    <font>
      <sz val="9"/>
      <name val=".VnTimeH"/>
      <family val="2"/>
    </font>
    <font>
      <vertAlign val="subscript"/>
      <sz val="8"/>
      <name val=".VnTime"/>
      <family val="2"/>
    </font>
    <font>
      <b/>
      <sz val="8"/>
      <name val=".VnTime"/>
      <family val="2"/>
    </font>
    <font>
      <sz val="10"/>
      <name val=".VnTimeH"/>
      <family val="2"/>
    </font>
    <font>
      <b/>
      <i/>
      <sz val="8"/>
      <name val=".VnTime"/>
      <family val="2"/>
    </font>
    <font>
      <b/>
      <i/>
      <sz val="8"/>
      <name val=".VnTimeH"/>
      <family val="2"/>
    </font>
    <font>
      <b/>
      <sz val="12"/>
      <color indexed="81"/>
      <name val=".VnTime"/>
      <family val="2"/>
    </font>
    <font>
      <sz val="12"/>
      <color indexed="81"/>
      <name val=".VnTime"/>
      <family val="2"/>
    </font>
    <font>
      <b/>
      <sz val="12"/>
      <name val=".VnTimeH"/>
      <family val="2"/>
    </font>
    <font>
      <b/>
      <sz val="12"/>
      <color indexed="10"/>
      <name val=".VnTime"/>
      <family val="2"/>
    </font>
    <font>
      <sz val="12"/>
      <color indexed="12"/>
      <name val=".VnTime"/>
      <family val="2"/>
    </font>
    <font>
      <i/>
      <sz val="12"/>
      <name val=".VnTime"/>
      <family val="2"/>
    </font>
    <font>
      <sz val="14"/>
      <name val="Times New Roman"/>
      <family val="1"/>
    </font>
    <font>
      <sz val="13"/>
      <name val="Times New Roman"/>
      <family val="1"/>
    </font>
    <font>
      <sz val="10"/>
      <color indexed="81"/>
      <name val=".VnTime"/>
      <family val="2"/>
    </font>
    <font>
      <b/>
      <sz val="12"/>
      <name val="Times New Roman"/>
      <family val="1"/>
    </font>
    <font>
      <sz val="12"/>
      <color indexed="8"/>
      <name val=".VnTime"/>
      <family val="2"/>
    </font>
    <font>
      <b/>
      <sz val="12"/>
      <color indexed="8"/>
      <name val=".VnTime"/>
      <family val="2"/>
    </font>
    <font>
      <sz val="12"/>
      <color indexed="10"/>
      <name val=".VnTime"/>
      <family val="2"/>
    </font>
    <font>
      <sz val="11"/>
      <color indexed="8"/>
      <name val=".VnTimeH"/>
      <family val="2"/>
    </font>
    <font>
      <sz val="11"/>
      <color indexed="8"/>
      <name val=".VnArial Narrow"/>
      <family val="2"/>
    </font>
    <font>
      <b/>
      <sz val="11"/>
      <color indexed="8"/>
      <name val=".VnArial Narrow"/>
      <family val="2"/>
    </font>
    <font>
      <sz val="10"/>
      <color indexed="8"/>
      <name val=".VnArial Narrow"/>
      <family val="2"/>
    </font>
    <font>
      <b/>
      <sz val="10"/>
      <color indexed="8"/>
      <name val=".VnArial Narrow"/>
      <family val="2"/>
    </font>
    <font>
      <b/>
      <sz val="11"/>
      <color indexed="8"/>
      <name val=".VnTimeH"/>
      <family val="2"/>
    </font>
    <font>
      <b/>
      <sz val="13"/>
      <color indexed="8"/>
      <name val=".VnArialH"/>
      <family val="2"/>
    </font>
    <font>
      <b/>
      <sz val="12"/>
      <color indexed="10"/>
      <name val=".VnTime"/>
      <family val="2"/>
    </font>
    <font>
      <b/>
      <sz val="9"/>
      <color indexed="8"/>
      <name val=".VnArial Narrow"/>
      <family val="2"/>
    </font>
    <font>
      <u/>
      <sz val="11"/>
      <color indexed="8"/>
      <name val=".VnArial Narrow"/>
      <family val="2"/>
    </font>
    <font>
      <b/>
      <sz val="16"/>
      <color indexed="8"/>
      <name val=".VnTimeH"/>
      <family val="2"/>
    </font>
    <font>
      <sz val="12"/>
      <color indexed="8"/>
      <name val=".VnTime"/>
      <family val="2"/>
    </font>
    <font>
      <b/>
      <sz val="12"/>
      <color indexed="8"/>
      <name val=".VnTime"/>
      <family val="2"/>
    </font>
    <font>
      <sz val="12"/>
      <color indexed="30"/>
      <name val=".VnTime"/>
      <family val="2"/>
    </font>
    <font>
      <b/>
      <sz val="12"/>
      <color indexed="30"/>
      <name val=".VnTime"/>
      <family val="2"/>
    </font>
    <font>
      <sz val="11"/>
      <color indexed="8"/>
      <name val=".VnTime"/>
      <family val="2"/>
    </font>
    <font>
      <b/>
      <sz val="11"/>
      <color indexed="8"/>
      <name val=".VnTime"/>
      <family val="2"/>
    </font>
    <font>
      <sz val="11"/>
      <color indexed="30"/>
      <name val=".VnTime"/>
      <family val="2"/>
    </font>
    <font>
      <b/>
      <sz val="11"/>
      <color indexed="30"/>
      <name val=".VnTime"/>
      <family val="2"/>
    </font>
    <font>
      <b/>
      <i/>
      <sz val="11"/>
      <color indexed="8"/>
      <name val=".VnTime"/>
      <family val="2"/>
    </font>
    <font>
      <b/>
      <sz val="16"/>
      <color indexed="8"/>
      <name val=".VnTimeH"/>
      <family val="2"/>
    </font>
    <font>
      <u/>
      <sz val="12"/>
      <color indexed="8"/>
      <name val=".VnTime"/>
      <family val="2"/>
    </font>
    <font>
      <b/>
      <u/>
      <sz val="12"/>
      <color indexed="8"/>
      <name val=".VnTime"/>
      <family val="2"/>
    </font>
    <font>
      <b/>
      <sz val="12"/>
      <color indexed="60"/>
      <name val=".VnTime"/>
      <family val="2"/>
    </font>
    <font>
      <b/>
      <sz val="12"/>
      <color indexed="49"/>
      <name val=".VnTime"/>
      <family val="2"/>
    </font>
    <font>
      <b/>
      <sz val="11"/>
      <color indexed="60"/>
      <name val=".VnTime"/>
      <family val="2"/>
    </font>
    <font>
      <b/>
      <sz val="11"/>
      <color indexed="49"/>
      <name val=".VnTime"/>
      <family val="2"/>
    </font>
    <font>
      <sz val="12"/>
      <color indexed="60"/>
      <name val=".VnTime"/>
      <family val="2"/>
    </font>
    <font>
      <sz val="11"/>
      <color indexed="60"/>
      <name val=".VnTime"/>
      <family val="2"/>
    </font>
    <font>
      <sz val="12"/>
      <color indexed="49"/>
      <name val=".VnTime"/>
      <family val="2"/>
    </font>
    <font>
      <sz val="11"/>
      <color indexed="49"/>
      <name val=".VnTime"/>
      <family val="2"/>
    </font>
    <font>
      <sz val="12"/>
      <color theme="1"/>
      <name val=".VnTime"/>
      <family val="2"/>
    </font>
    <font>
      <b/>
      <sz val="12"/>
      <color theme="1"/>
      <name val=".VnTime"/>
      <family val="2"/>
    </font>
    <font>
      <sz val="12"/>
      <color rgb="FF0070C0"/>
      <name val=".VnTime"/>
      <family val="2"/>
    </font>
    <font>
      <sz val="12"/>
      <color theme="0"/>
      <name val=".VnTime"/>
      <family val="2"/>
    </font>
    <font>
      <sz val="11"/>
      <color theme="1"/>
      <name val=".VnTime"/>
      <family val="2"/>
    </font>
    <font>
      <b/>
      <sz val="12"/>
      <color rgb="FFFF0000"/>
      <name val=".VnTime"/>
      <family val="2"/>
    </font>
    <font>
      <b/>
      <sz val="11"/>
      <color theme="1"/>
      <name val=".VnTime"/>
      <family val="2"/>
    </font>
    <font>
      <sz val="12"/>
      <color rgb="FFFF0000"/>
      <name val=".VnTime"/>
      <family val="2"/>
    </font>
    <font>
      <sz val="12"/>
      <color indexed="53"/>
      <name val=".VnTime"/>
      <family val="2"/>
    </font>
    <font>
      <b/>
      <sz val="12"/>
      <color indexed="53"/>
      <name val=".VnTime"/>
      <family val="2"/>
    </font>
    <font>
      <sz val="12"/>
      <color indexed="17"/>
      <name val=".VnTime"/>
      <family val="2"/>
    </font>
    <font>
      <b/>
      <sz val="12"/>
      <color indexed="17"/>
      <name val=".VnTime"/>
      <family val="2"/>
    </font>
    <font>
      <sz val="12"/>
      <color theme="8"/>
      <name val=".VnTime"/>
      <family val="2"/>
    </font>
    <font>
      <b/>
      <sz val="12"/>
      <color theme="8"/>
      <name val=".VnTime"/>
      <family val="2"/>
    </font>
    <font>
      <sz val="12"/>
      <color indexed="51"/>
      <name val=".VnTime"/>
      <family val="2"/>
    </font>
    <font>
      <b/>
      <sz val="12"/>
      <color indexed="51"/>
      <name val=".VnTime"/>
      <family val="2"/>
    </font>
    <font>
      <sz val="12"/>
      <color indexed="40"/>
      <name val=".VnTime"/>
      <family val="2"/>
    </font>
    <font>
      <b/>
      <sz val="12"/>
      <color indexed="40"/>
      <name val=".VnTime"/>
      <family val="2"/>
    </font>
    <font>
      <sz val="12"/>
      <color indexed="21"/>
      <name val=".VnTime"/>
      <family val="2"/>
    </font>
    <font>
      <b/>
      <sz val="12"/>
      <color indexed="21"/>
      <name val=".VnTime"/>
      <family val="2"/>
    </font>
    <font>
      <b/>
      <sz val="12"/>
      <color rgb="FF0070C0"/>
      <name val=".VnTime"/>
      <family val="2"/>
    </font>
    <font>
      <sz val="12"/>
      <color rgb="FFFFC000"/>
      <name val=".VnTime"/>
      <family val="2"/>
    </font>
    <font>
      <b/>
      <sz val="12"/>
      <color rgb="FFFFC000"/>
      <name val=".VnTime"/>
      <family val="2"/>
    </font>
    <font>
      <sz val="12"/>
      <color rgb="FFC00000"/>
      <name val=".VnTime"/>
      <family val="2"/>
    </font>
    <font>
      <b/>
      <sz val="12"/>
      <color rgb="FFC00000"/>
      <name val=".VnTime"/>
      <family val="2"/>
    </font>
    <font>
      <sz val="11"/>
      <color indexed="12"/>
      <name val=".VnTime"/>
      <family val="2"/>
    </font>
    <font>
      <sz val="16"/>
      <name val=".VnTimeH"/>
      <family val="2"/>
    </font>
    <font>
      <sz val="12"/>
      <name val=".VnTimeH"/>
      <family val="2"/>
    </font>
    <font>
      <b/>
      <sz val="16"/>
      <color theme="1"/>
      <name val=".VnTimeH"/>
      <family val="2"/>
    </font>
    <font>
      <sz val="11"/>
      <color theme="1"/>
      <name val=".VnArial Narrow"/>
      <family val="2"/>
    </font>
    <font>
      <b/>
      <sz val="12"/>
      <color theme="1"/>
      <name val=".VnTimeH"/>
      <family val="2"/>
    </font>
    <font>
      <sz val="11"/>
      <color theme="1"/>
      <name val=".VnTimeH"/>
      <family val="2"/>
    </font>
    <font>
      <b/>
      <sz val="11"/>
      <color theme="1"/>
      <name val=".VnTimeH"/>
      <family val="2"/>
    </font>
    <font>
      <b/>
      <i/>
      <sz val="11"/>
      <color theme="1"/>
      <name val=".VnTime"/>
      <family val="2"/>
    </font>
    <font>
      <i/>
      <sz val="11"/>
      <color theme="1"/>
      <name val=".VnTime"/>
      <family val="2"/>
    </font>
    <font>
      <b/>
      <sz val="11"/>
      <color theme="1"/>
      <name val=".VnArial Narrow"/>
      <family val="2"/>
    </font>
    <font>
      <sz val="11"/>
      <color rgb="FF0070C0"/>
      <name val=".VnTime"/>
      <family val="2"/>
    </font>
    <font>
      <i/>
      <sz val="12"/>
      <color theme="1"/>
      <name val=".VnTime"/>
      <family val="2"/>
    </font>
    <font>
      <b/>
      <sz val="11"/>
      <color rgb="FF0070C0"/>
      <name val=".VnTimeH"/>
      <family val="2"/>
    </font>
    <font>
      <b/>
      <sz val="11"/>
      <color rgb="FF0070C0"/>
      <name val=".VnTime"/>
      <family val="2"/>
    </font>
    <font>
      <sz val="11"/>
      <color rgb="FF0070C0"/>
      <name val=".VnArial Narrow"/>
      <family val="2"/>
    </font>
    <font>
      <b/>
      <sz val="11"/>
      <color theme="0"/>
      <name val=".VnTime"/>
      <family val="2"/>
    </font>
    <font>
      <sz val="11"/>
      <color theme="0"/>
      <name val=".VnTime"/>
      <family val="2"/>
    </font>
    <font>
      <sz val="13"/>
      <color rgb="FFFF0000"/>
      <name val=".VnTime"/>
      <family val="2"/>
    </font>
    <font>
      <sz val="11"/>
      <color rgb="FFFF0000"/>
      <name val=".VnTime"/>
      <family val="2"/>
    </font>
    <font>
      <b/>
      <sz val="12"/>
      <color rgb="FFFF0000"/>
      <name val=".VnTimeH"/>
      <family val="2"/>
    </font>
    <font>
      <sz val="12"/>
      <color rgb="FFFF0000"/>
      <name val=".VnTimeH"/>
      <family val="2"/>
    </font>
    <font>
      <sz val="10"/>
      <color rgb="FFFF0000"/>
      <name val="VNI-Times"/>
    </font>
    <font>
      <sz val="10"/>
      <color rgb="FFFF0000"/>
      <name val=".VnTimeH"/>
      <family val="2"/>
    </font>
    <font>
      <b/>
      <sz val="11.5"/>
      <name val=".VnTimeH"/>
      <family val="2"/>
    </font>
    <font>
      <b/>
      <sz val="11"/>
      <color rgb="FFFF0000"/>
      <name val=".VnTimeH"/>
      <family val="2"/>
    </font>
    <font>
      <b/>
      <sz val="11"/>
      <color theme="1" tint="0.14999847407452621"/>
      <name val=".VnTime"/>
      <family val="2"/>
    </font>
    <font>
      <sz val="12"/>
      <color theme="1" tint="0.14999847407452621"/>
      <name val=".VnTime"/>
      <family val="2"/>
    </font>
    <font>
      <sz val="11"/>
      <color theme="1" tint="0.14999847407452621"/>
      <name val=".VnTime"/>
      <family val="2"/>
    </font>
    <font>
      <b/>
      <sz val="12"/>
      <color theme="1" tint="0.14999847407452621"/>
      <name val=".VnTime"/>
      <family val="2"/>
    </font>
    <font>
      <b/>
      <u/>
      <sz val="12"/>
      <name val=".VnTimeH"/>
      <family val="2"/>
    </font>
    <font>
      <sz val="11"/>
      <name val=".VnArial Narrow"/>
      <family val="2"/>
    </font>
    <font>
      <u/>
      <sz val="11"/>
      <name val=".VnArial Narrow"/>
      <family val="2"/>
    </font>
    <font>
      <sz val="11"/>
      <color theme="1"/>
      <name val="Arial"/>
      <family val="2"/>
      <scheme val="minor"/>
    </font>
    <font>
      <b/>
      <sz val="14"/>
      <name val="Times New Roman"/>
      <family val="1"/>
    </font>
    <font>
      <i/>
      <sz val="12"/>
      <name val="Times New Roman"/>
      <family val="1"/>
    </font>
    <font>
      <i/>
      <sz val="14"/>
      <name val="Times New Roman"/>
      <family val="1"/>
    </font>
    <font>
      <sz val="14"/>
      <name val="Arial"/>
      <family val="2"/>
    </font>
    <font>
      <b/>
      <sz val="10"/>
      <name val="Times New Roman"/>
      <family val="1"/>
    </font>
    <font>
      <sz val="11"/>
      <color theme="1"/>
      <name val="Arial"/>
      <family val="2"/>
      <charset val="163"/>
      <scheme val="minor"/>
    </font>
    <font>
      <sz val="12"/>
      <color theme="1"/>
      <name val="Times New Roman"/>
      <family val="1"/>
    </font>
    <font>
      <b/>
      <sz val="12"/>
      <color theme="1"/>
      <name val="Times New Roman"/>
      <family val="1"/>
    </font>
    <font>
      <sz val="11"/>
      <color theme="1"/>
      <name val="Times New Roman"/>
      <family val="1"/>
    </font>
    <font>
      <b/>
      <u/>
      <sz val="12"/>
      <color theme="1"/>
      <name val="Times New Roman"/>
      <family val="1"/>
    </font>
    <font>
      <b/>
      <u val="singleAccounting"/>
      <sz val="12"/>
      <color theme="1"/>
      <name val="Times New Roman"/>
      <family val="1"/>
    </font>
  </fonts>
  <fills count="91">
    <fill>
      <patternFill patternType="none"/>
    </fill>
    <fill>
      <patternFill patternType="gray125"/>
    </fill>
    <fill>
      <patternFill patternType="solid">
        <fgColor indexed="22"/>
        <bgColor indexed="64"/>
      </patternFill>
    </fill>
    <fill>
      <patternFill patternType="solid">
        <fgColor indexed="22"/>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62"/>
        <bgColor indexed="59"/>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bgColor indexed="60"/>
      </patternFill>
    </fill>
    <fill>
      <patternFill patternType="solid">
        <fgColor indexed="57"/>
      </patternFill>
    </fill>
    <fill>
      <patternFill patternType="solid">
        <fgColor indexed="42"/>
        <bgColor indexed="42"/>
      </patternFill>
    </fill>
    <fill>
      <patternFill patternType="solid">
        <fgColor indexed="57"/>
        <bgColor indexed="21"/>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53"/>
        <bgColor indexed="5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patternFill>
    </fill>
    <fill>
      <patternFill patternType="solid">
        <fgColor indexed="23"/>
        <bgColor indexed="64"/>
      </patternFill>
    </fill>
    <fill>
      <patternFill patternType="solid">
        <fgColor indexed="41"/>
        <bgColor indexed="64"/>
      </patternFill>
    </fill>
    <fill>
      <patternFill patternType="solid">
        <fgColor indexed="65"/>
        <bgColor indexed="64"/>
      </patternFill>
    </fill>
    <fill>
      <patternFill patternType="solid">
        <fgColor indexed="40"/>
        <bgColor indexed="64"/>
      </patternFill>
    </fill>
    <fill>
      <patternFill patternType="solid">
        <fgColor indexed="9"/>
        <bgColor indexed="64"/>
      </patternFill>
    </fill>
    <fill>
      <patternFill patternType="solid">
        <fgColor indexed="15"/>
      </patternFill>
    </fill>
    <fill>
      <patternFill patternType="solid">
        <fgColor indexed="15"/>
        <bgColor indexed="64"/>
      </patternFill>
    </fill>
    <fill>
      <patternFill patternType="solid">
        <fgColor indexed="12"/>
      </patternFill>
    </fill>
    <fill>
      <patternFill patternType="solid">
        <fgColor indexed="43"/>
      </patternFill>
    </fill>
    <fill>
      <patternFill patternType="solid">
        <fgColor indexed="43"/>
        <bgColor indexed="26"/>
      </patternFill>
    </fill>
    <fill>
      <patternFill patternType="solid">
        <fgColor indexed="10"/>
        <bgColor indexed="64"/>
      </patternFill>
    </fill>
    <fill>
      <patternFill patternType="solid">
        <fgColor indexed="26"/>
        <bgColor indexed="9"/>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9"/>
        <bgColor indexed="9"/>
      </patternFill>
    </fill>
    <fill>
      <patternFill patternType="solid">
        <fgColor indexed="55"/>
        <bgColor indexed="64"/>
      </patternFill>
    </fill>
    <fill>
      <patternFill patternType="solid">
        <fgColor indexed="35"/>
        <bgColor indexed="64"/>
      </patternFill>
    </fill>
    <fill>
      <patternFill patternType="gray125">
        <fgColor indexed="15"/>
      </patternFill>
    </fill>
    <fill>
      <patternFill patternType="solid">
        <fgColor indexed="9"/>
        <bgColor indexed="10"/>
      </patternFill>
    </fill>
    <fill>
      <patternFill patternType="solid">
        <fgColor indexed="27"/>
        <bgColor indexed="64"/>
      </patternFill>
    </fill>
    <fill>
      <patternFill patternType="solid">
        <fgColor indexed="13"/>
        <bgColor indexed="64"/>
      </patternFill>
    </fill>
    <fill>
      <patternFill patternType="solid">
        <fgColor indexed="11"/>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112">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style="double">
        <color indexed="64"/>
      </bottom>
      <diagonal/>
    </border>
    <border>
      <left style="thick">
        <color indexed="12"/>
      </left>
      <right/>
      <top style="thick">
        <color indexed="12"/>
      </top>
      <bottom/>
      <diagonal/>
    </border>
    <border>
      <left style="thick">
        <color indexed="64"/>
      </left>
      <right/>
      <top style="thick">
        <color indexed="64"/>
      </top>
      <bottom/>
      <diagonal/>
    </border>
    <border>
      <left style="thin">
        <color indexed="22"/>
      </left>
      <right style="thin">
        <color indexed="22"/>
      </right>
      <top style="thin">
        <color indexed="22"/>
      </top>
      <bottom style="thin">
        <color indexed="22"/>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8"/>
      </left>
      <right style="thin">
        <color indexed="8"/>
      </right>
      <top style="thin">
        <color indexed="8"/>
      </top>
      <bottom style="thin">
        <color indexed="8"/>
      </bottom>
      <diagonal/>
    </border>
    <border>
      <left/>
      <right/>
      <top style="double">
        <color indexed="64"/>
      </top>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right/>
      <top style="thin">
        <color indexed="62"/>
      </top>
      <bottom style="double">
        <color indexed="62"/>
      </bottom>
      <diagonal/>
    </border>
    <border>
      <left style="double">
        <color indexed="64"/>
      </left>
      <right style="thin">
        <color indexed="64"/>
      </right>
      <top style="hair">
        <color indexed="64"/>
      </top>
      <bottom style="double">
        <color indexed="64"/>
      </bottom>
      <diagonal/>
    </border>
    <border>
      <left style="medium">
        <color indexed="9"/>
      </left>
      <right style="medium">
        <color indexed="9"/>
      </right>
      <top style="medium">
        <color indexed="9"/>
      </top>
      <bottom style="medium">
        <color indexed="9"/>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double">
        <color indexed="64"/>
      </right>
      <top/>
      <bottom style="hair">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2911">
    <xf numFmtId="0" fontId="0" fillId="0" borderId="0"/>
    <xf numFmtId="181" fontId="2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182" fontId="15" fillId="0" borderId="0" applyFont="0" applyFill="0" applyBorder="0" applyAlignment="0" applyProtection="0"/>
    <xf numFmtId="0" fontId="19" fillId="0" borderId="0"/>
    <xf numFmtId="3" fontId="25" fillId="0" borderId="1"/>
    <xf numFmtId="3" fontId="26" fillId="0" borderId="2"/>
    <xf numFmtId="183" fontId="27" fillId="0" borderId="3">
      <alignment horizontal="center"/>
      <protection hidden="1"/>
    </xf>
    <xf numFmtId="38" fontId="28" fillId="0" borderId="0" applyFont="0" applyFill="0" applyBorder="0" applyAlignment="0" applyProtection="0"/>
    <xf numFmtId="184" fontId="29" fillId="0" borderId="0"/>
    <xf numFmtId="175" fontId="11" fillId="0" borderId="4" applyFont="0" applyBorder="0"/>
    <xf numFmtId="0" fontId="14" fillId="0" borderId="0"/>
    <xf numFmtId="185" fontId="15"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Font="0" applyFill="0" applyBorder="0" applyAlignment="0" applyProtection="0"/>
    <xf numFmtId="186" fontId="15" fillId="0" borderId="0" applyFont="0" applyFill="0" applyBorder="0" applyAlignment="0" applyProtection="0"/>
    <xf numFmtId="0" fontId="15" fillId="0" borderId="0" applyNumberFormat="0" applyFill="0" applyBorder="0" applyAlignment="0" applyProtection="0"/>
    <xf numFmtId="0" fontId="32" fillId="0" borderId="0"/>
    <xf numFmtId="187" fontId="31" fillId="0" borderId="0" applyFont="0" applyFill="0" applyBorder="0" applyAlignment="0" applyProtection="0"/>
    <xf numFmtId="0" fontId="33" fillId="0" borderId="5"/>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88" fontId="31" fillId="0" borderId="0" applyFont="0" applyFill="0" applyBorder="0" applyAlignment="0" applyProtection="0"/>
    <xf numFmtId="41" fontId="36" fillId="0" borderId="0" applyFont="0" applyFill="0" applyBorder="0" applyAlignment="0" applyProtection="0"/>
    <xf numFmtId="43" fontId="36" fillId="0" borderId="0" applyFont="0" applyFill="0" applyBorder="0" applyAlignment="0" applyProtection="0"/>
    <xf numFmtId="167" fontId="37" fillId="0" borderId="0" applyFont="0" applyFill="0" applyBorder="0" applyAlignment="0" applyProtection="0"/>
    <xf numFmtId="0" fontId="31"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8" fillId="0" borderId="0"/>
    <xf numFmtId="40" fontId="39" fillId="0" borderId="0" applyFont="0" applyFill="0" applyBorder="0" applyAlignment="0" applyProtection="0"/>
    <xf numFmtId="38" fontId="40" fillId="0" borderId="0" applyFont="0" applyFill="0" applyBorder="0" applyAlignment="0" applyProtection="0"/>
    <xf numFmtId="0" fontId="15" fillId="0" borderId="0" applyNumberFormat="0" applyFill="0" applyBorder="0" applyAlignment="0" applyProtection="0"/>
    <xf numFmtId="40" fontId="41" fillId="0" borderId="0" applyFont="0" applyFill="0" applyBorder="0" applyAlignment="0" applyProtection="0"/>
    <xf numFmtId="38" fontId="41" fillId="0" borderId="0" applyFont="0" applyFill="0" applyBorder="0" applyAlignment="0" applyProtection="0"/>
    <xf numFmtId="0" fontId="15" fillId="0" borderId="0"/>
    <xf numFmtId="0" fontId="14" fillId="0" borderId="0" applyNumberFormat="0" applyFill="0" applyBorder="0" applyAlignment="0" applyProtection="0"/>
    <xf numFmtId="0" fontId="14" fillId="0" borderId="0" applyNumberFormat="0" applyFill="0" applyBorder="0" applyAlignment="0" applyProtection="0"/>
    <xf numFmtId="0" fontId="42" fillId="0" borderId="0"/>
    <xf numFmtId="0" fontId="42" fillId="0" borderId="0"/>
    <xf numFmtId="0" fontId="42" fillId="0" borderId="0"/>
    <xf numFmtId="0" fontId="42" fillId="0" borderId="0"/>
    <xf numFmtId="0" fontId="15" fillId="0" borderId="0"/>
    <xf numFmtId="0" fontId="43" fillId="0" borderId="0">
      <alignment vertical="top"/>
    </xf>
    <xf numFmtId="0" fontId="43" fillId="0" borderId="0">
      <alignment vertical="top"/>
    </xf>
    <xf numFmtId="0" fontId="43"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89" fontId="24" fillId="0" borderId="0" applyFont="0" applyFill="0" applyBorder="0" applyAlignment="0" applyProtection="0"/>
    <xf numFmtId="0" fontId="15" fillId="0" borderId="0" applyNumberFormat="0" applyFill="0" applyBorder="0" applyAlignment="0" applyProtection="0"/>
    <xf numFmtId="0" fontId="44" fillId="0" borderId="0"/>
    <xf numFmtId="181" fontId="23" fillId="0" borderId="0" applyFont="0" applyFill="0" applyBorder="0" applyAlignment="0" applyProtection="0"/>
    <xf numFmtId="181" fontId="23" fillId="0" borderId="0" applyFont="0" applyFill="0" applyBorder="0" applyAlignment="0" applyProtection="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30" fillId="0" borderId="0"/>
    <xf numFmtId="0" fontId="44" fillId="0" borderId="0"/>
    <xf numFmtId="0" fontId="44" fillId="0" borderId="0"/>
    <xf numFmtId="190" fontId="45" fillId="0" borderId="0" applyFont="0" applyFill="0" applyBorder="0" applyAlignment="0" applyProtection="0"/>
    <xf numFmtId="0" fontId="43" fillId="0" borderId="0">
      <alignment vertical="top"/>
    </xf>
    <xf numFmtId="0" fontId="43" fillId="0" borderId="0">
      <alignment vertical="top"/>
    </xf>
    <xf numFmtId="0" fontId="43" fillId="0" borderId="0">
      <alignment vertical="top"/>
    </xf>
    <xf numFmtId="191" fontId="23" fillId="0" borderId="0" applyFont="0" applyFill="0" applyBorder="0" applyAlignment="0" applyProtection="0"/>
    <xf numFmtId="191" fontId="23" fillId="0" borderId="0" applyFont="0" applyFill="0" applyBorder="0" applyAlignment="0" applyProtection="0"/>
    <xf numFmtId="0" fontId="15" fillId="0" borderId="0"/>
    <xf numFmtId="168" fontId="45" fillId="0" borderId="0" applyFont="0" applyFill="0" applyBorder="0" applyAlignment="0" applyProtection="0"/>
    <xf numFmtId="0" fontId="43" fillId="0" borderId="0">
      <alignment vertical="top"/>
    </xf>
    <xf numFmtId="0" fontId="43" fillId="0" borderId="0">
      <alignment vertical="top"/>
    </xf>
    <xf numFmtId="0" fontId="43" fillId="0" borderId="0">
      <alignment vertical="top"/>
    </xf>
    <xf numFmtId="0" fontId="15"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192" fontId="45" fillId="0" borderId="0" applyFont="0" applyFill="0" applyBorder="0" applyAlignment="0" applyProtection="0"/>
    <xf numFmtId="0" fontId="42" fillId="0" borderId="0" applyFont="0" applyFill="0" applyBorder="0" applyAlignment="0" applyProtection="0"/>
    <xf numFmtId="0" fontId="43" fillId="0" borderId="0">
      <alignment vertical="top"/>
    </xf>
    <xf numFmtId="0" fontId="43"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191" fontId="23" fillId="0" borderId="0" applyFont="0" applyFill="0" applyBorder="0" applyAlignment="0" applyProtection="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168" fontId="45" fillId="0" borderId="0" applyFont="0" applyFill="0" applyBorder="0" applyAlignment="0" applyProtection="0"/>
    <xf numFmtId="0" fontId="43" fillId="0" borderId="0">
      <alignment vertical="top"/>
    </xf>
    <xf numFmtId="191" fontId="23" fillId="0" borderId="0" applyFont="0" applyFill="0" applyBorder="0" applyAlignment="0" applyProtection="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4" fillId="0" borderId="0"/>
    <xf numFmtId="0" fontId="30" fillId="0" borderId="0"/>
    <xf numFmtId="0" fontId="43" fillId="0" borderId="0">
      <alignment vertical="top"/>
    </xf>
    <xf numFmtId="0" fontId="44" fillId="0" borderId="0"/>
    <xf numFmtId="0" fontId="44" fillId="0" borderId="0"/>
    <xf numFmtId="0" fontId="44" fillId="0" borderId="0"/>
    <xf numFmtId="0" fontId="43" fillId="0" borderId="0">
      <alignment vertical="top"/>
    </xf>
    <xf numFmtId="0" fontId="43" fillId="0" borderId="0">
      <alignment vertical="top"/>
    </xf>
    <xf numFmtId="0" fontId="30" fillId="0" borderId="0"/>
    <xf numFmtId="0" fontId="42" fillId="0" borderId="0" applyFont="0" applyFill="0" applyBorder="0" applyAlignment="0" applyProtection="0"/>
    <xf numFmtId="0" fontId="46" fillId="0" borderId="0"/>
    <xf numFmtId="0" fontId="43" fillId="0" borderId="0">
      <alignment vertical="top"/>
    </xf>
    <xf numFmtId="0" fontId="15" fillId="0" borderId="0"/>
    <xf numFmtId="0" fontId="44" fillId="0" borderId="0"/>
    <xf numFmtId="41" fontId="47" fillId="0" borderId="0" applyFont="0" applyFill="0" applyBorder="0" applyAlignment="0" applyProtection="0"/>
    <xf numFmtId="41" fontId="47" fillId="0" borderId="0" applyFont="0" applyFill="0" applyBorder="0" applyAlignment="0" applyProtection="0"/>
    <xf numFmtId="193" fontId="48" fillId="0" borderId="0" applyFont="0" applyFill="0" applyBorder="0" applyAlignment="0" applyProtection="0"/>
    <xf numFmtId="178" fontId="42" fillId="0" borderId="0" applyFont="0" applyFill="0" applyBorder="0" applyAlignment="0" applyProtection="0"/>
    <xf numFmtId="194" fontId="24" fillId="0" borderId="0" applyFont="0" applyFill="0" applyBorder="0" applyAlignment="0" applyProtection="0"/>
    <xf numFmtId="0" fontId="30" fillId="0" borderId="0"/>
    <xf numFmtId="195" fontId="45" fillId="0" borderId="0" applyFont="0" applyFill="0" applyBorder="0" applyAlignment="0" applyProtection="0"/>
    <xf numFmtId="0" fontId="15"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3" fillId="0" borderId="0">
      <alignment vertical="top"/>
    </xf>
    <xf numFmtId="0" fontId="43" fillId="0" borderId="0">
      <alignment vertical="top"/>
    </xf>
    <xf numFmtId="0" fontId="42" fillId="0" borderId="0"/>
    <xf numFmtId="0" fontId="42" fillId="0" borderId="0"/>
    <xf numFmtId="168" fontId="45"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96" fontId="23" fillId="0" borderId="0" applyFont="0" applyFill="0" applyBorder="0" applyAlignment="0" applyProtection="0"/>
    <xf numFmtId="193" fontId="23" fillId="0" borderId="0" applyFont="0" applyFill="0" applyBorder="0" applyAlignment="0" applyProtection="0"/>
    <xf numFmtId="181" fontId="23" fillId="0" borderId="0" applyFont="0" applyFill="0" applyBorder="0" applyAlignment="0" applyProtection="0"/>
    <xf numFmtId="193" fontId="23" fillId="0" borderId="0" applyFont="0" applyFill="0" applyBorder="0" applyAlignment="0" applyProtection="0"/>
    <xf numFmtId="197" fontId="2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98" fontId="15" fillId="0" borderId="0" applyFont="0" applyFill="0" applyBorder="0" applyAlignment="0" applyProtection="0"/>
    <xf numFmtId="194" fontId="24" fillId="0" borderId="0" applyFont="0" applyFill="0" applyBorder="0" applyAlignment="0" applyProtection="0"/>
    <xf numFmtId="181" fontId="23" fillId="0" borderId="0" applyFont="0" applyFill="0" applyBorder="0" applyAlignment="0" applyProtection="0"/>
    <xf numFmtId="43" fontId="23" fillId="0" borderId="0" applyFont="0" applyFill="0" applyBorder="0" applyAlignment="0" applyProtection="0"/>
    <xf numFmtId="171" fontId="45" fillId="0" borderId="0" applyFont="0" applyFill="0" applyBorder="0" applyAlignment="0" applyProtection="0"/>
    <xf numFmtId="199" fontId="45" fillId="0" borderId="0" applyFont="0" applyFill="0" applyBorder="0" applyAlignment="0" applyProtection="0"/>
    <xf numFmtId="199" fontId="45" fillId="0" borderId="0" applyFont="0" applyFill="0" applyBorder="0" applyAlignment="0" applyProtection="0"/>
    <xf numFmtId="187" fontId="45" fillId="0" borderId="0" applyFont="0" applyFill="0" applyBorder="0" applyAlignment="0" applyProtection="0"/>
    <xf numFmtId="199" fontId="45" fillId="0" borderId="0" applyFont="0" applyFill="0" applyBorder="0" applyAlignment="0" applyProtection="0"/>
    <xf numFmtId="179" fontId="45" fillId="0" borderId="0" applyFont="0" applyFill="0" applyBorder="0" applyAlignment="0" applyProtection="0"/>
    <xf numFmtId="199" fontId="45" fillId="0" borderId="0" applyFont="0" applyFill="0" applyBorder="0" applyAlignment="0" applyProtection="0"/>
    <xf numFmtId="200" fontId="45" fillId="0" borderId="0" applyFont="0" applyFill="0" applyBorder="0" applyAlignment="0" applyProtection="0"/>
    <xf numFmtId="199" fontId="45" fillId="0" borderId="0" applyFont="0" applyFill="0" applyBorder="0" applyAlignment="0" applyProtection="0"/>
    <xf numFmtId="187" fontId="45" fillId="0" borderId="0" applyFont="0" applyFill="0" applyBorder="0" applyAlignment="0" applyProtection="0"/>
    <xf numFmtId="0" fontId="45" fillId="0" borderId="0" applyFont="0" applyFill="0" applyBorder="0" applyAlignment="0" applyProtection="0"/>
    <xf numFmtId="179"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43" fontId="45" fillId="0" borderId="0" applyFont="0" applyFill="0" applyBorder="0" applyAlignment="0" applyProtection="0"/>
    <xf numFmtId="165" fontId="45" fillId="0" borderId="0" applyFont="0" applyFill="0" applyBorder="0" applyAlignment="0" applyProtection="0"/>
    <xf numFmtId="179" fontId="45" fillId="0" borderId="0" applyFont="0" applyFill="0" applyBorder="0" applyAlignment="0" applyProtection="0"/>
    <xf numFmtId="171" fontId="45" fillId="0" borderId="0" applyFont="0" applyFill="0" applyBorder="0" applyAlignment="0" applyProtection="0"/>
    <xf numFmtId="165" fontId="45" fillId="0" borderId="0" applyFont="0" applyFill="0" applyBorder="0" applyAlignment="0" applyProtection="0"/>
    <xf numFmtId="171" fontId="45" fillId="0" borderId="0" applyFont="0" applyFill="0" applyBorder="0" applyAlignment="0" applyProtection="0"/>
    <xf numFmtId="165" fontId="45" fillId="0" borderId="0" applyFont="0" applyFill="0" applyBorder="0" applyAlignment="0" applyProtection="0"/>
    <xf numFmtId="179" fontId="45" fillId="0" borderId="0" applyFont="0" applyFill="0" applyBorder="0" applyAlignment="0" applyProtection="0"/>
    <xf numFmtId="199" fontId="45" fillId="0" borderId="0" applyFont="0" applyFill="0" applyBorder="0" applyAlignment="0" applyProtection="0"/>
    <xf numFmtId="199" fontId="45" fillId="0" borderId="0" applyFont="0" applyFill="0" applyBorder="0" applyAlignment="0" applyProtection="0"/>
    <xf numFmtId="43" fontId="45"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179" fontId="45" fillId="0" borderId="0" applyFont="0" applyFill="0" applyBorder="0" applyAlignment="0" applyProtection="0"/>
    <xf numFmtId="199" fontId="45" fillId="0" borderId="0" applyFont="0" applyFill="0" applyBorder="0" applyAlignment="0" applyProtection="0"/>
    <xf numFmtId="202" fontId="45" fillId="0" borderId="0" applyFont="0" applyFill="0" applyBorder="0" applyAlignment="0" applyProtection="0"/>
    <xf numFmtId="202" fontId="45" fillId="0" borderId="0" applyFont="0" applyFill="0" applyBorder="0" applyAlignment="0" applyProtection="0"/>
    <xf numFmtId="179" fontId="45" fillId="0" borderId="0" applyFont="0" applyFill="0" applyBorder="0" applyAlignment="0" applyProtection="0"/>
    <xf numFmtId="201" fontId="24" fillId="0" borderId="0" applyFont="0" applyFill="0" applyBorder="0" applyAlignment="0" applyProtection="0"/>
    <xf numFmtId="202"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179" fontId="45" fillId="0" borderId="0" applyFont="0" applyFill="0" applyBorder="0" applyAlignment="0" applyProtection="0"/>
    <xf numFmtId="199" fontId="45" fillId="0" borderId="0" applyFont="0" applyFill="0" applyBorder="0" applyAlignment="0" applyProtection="0"/>
    <xf numFmtId="199" fontId="45" fillId="0" borderId="0" applyFont="0" applyFill="0" applyBorder="0" applyAlignment="0" applyProtection="0"/>
    <xf numFmtId="179" fontId="45" fillId="0" borderId="0" applyFont="0" applyFill="0" applyBorder="0" applyAlignment="0" applyProtection="0"/>
    <xf numFmtId="199" fontId="45" fillId="0" borderId="0" applyFont="0" applyFill="0" applyBorder="0" applyAlignment="0" applyProtection="0"/>
    <xf numFmtId="179" fontId="45" fillId="0" borderId="0" applyFont="0" applyFill="0" applyBorder="0" applyAlignment="0" applyProtection="0"/>
    <xf numFmtId="203" fontId="45" fillId="0" borderId="0" applyFont="0" applyFill="0" applyBorder="0" applyAlignment="0" applyProtection="0"/>
    <xf numFmtId="204" fontId="45" fillId="0" borderId="0" applyFont="0" applyFill="0" applyBorder="0" applyAlignment="0" applyProtection="0"/>
    <xf numFmtId="198" fontId="47" fillId="0" borderId="0" applyFont="0" applyFill="0" applyBorder="0" applyAlignment="0" applyProtection="0"/>
    <xf numFmtId="198" fontId="47" fillId="0" borderId="0" applyFont="0" applyFill="0" applyBorder="0" applyAlignment="0" applyProtection="0"/>
    <xf numFmtId="205" fontId="15" fillId="0" borderId="0" applyFont="0" applyFill="0" applyBorder="0" applyAlignment="0" applyProtection="0"/>
    <xf numFmtId="206" fontId="14" fillId="0" borderId="0" applyFont="0" applyFill="0" applyBorder="0" applyAlignment="0" applyProtection="0"/>
    <xf numFmtId="207" fontId="49" fillId="0" borderId="0" applyFont="0" applyFill="0" applyBorder="0" applyAlignment="0" applyProtection="0"/>
    <xf numFmtId="203" fontId="45" fillId="0" borderId="0" applyFont="0" applyFill="0" applyBorder="0" applyAlignment="0" applyProtection="0"/>
    <xf numFmtId="201" fontId="24" fillId="0" borderId="0" applyFont="0" applyFill="0" applyBorder="0" applyAlignment="0" applyProtection="0"/>
    <xf numFmtId="203" fontId="45" fillId="0" borderId="0" applyFont="0" applyFill="0" applyBorder="0" applyAlignment="0" applyProtection="0"/>
    <xf numFmtId="171" fontId="45" fillId="0" borderId="0" applyFont="0" applyFill="0" applyBorder="0" applyAlignment="0" applyProtection="0"/>
    <xf numFmtId="165" fontId="45" fillId="0" borderId="0" applyFont="0" applyFill="0" applyBorder="0" applyAlignment="0" applyProtection="0"/>
    <xf numFmtId="41" fontId="23"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90" fontId="45" fillId="0" borderId="0" applyFont="0" applyFill="0" applyBorder="0" applyAlignment="0" applyProtection="0"/>
    <xf numFmtId="191" fontId="23" fillId="0" borderId="0" applyFont="0" applyFill="0" applyBorder="0" applyAlignment="0" applyProtection="0"/>
    <xf numFmtId="192" fontId="45" fillId="0" borderId="0" applyFont="0" applyFill="0" applyBorder="0" applyAlignment="0" applyProtection="0"/>
    <xf numFmtId="193" fontId="48" fillId="0" borderId="0" applyFont="0" applyFill="0" applyBorder="0" applyAlignment="0" applyProtection="0"/>
    <xf numFmtId="195" fontId="45" fillId="0" borderId="0" applyFont="0" applyFill="0" applyBorder="0" applyAlignment="0" applyProtection="0"/>
    <xf numFmtId="195" fontId="45" fillId="0" borderId="0" applyFont="0" applyFill="0" applyBorder="0" applyAlignment="0" applyProtection="0"/>
    <xf numFmtId="41" fontId="47" fillId="0" borderId="0" applyFont="0" applyFill="0" applyBorder="0" applyAlignment="0" applyProtection="0"/>
    <xf numFmtId="195" fontId="45" fillId="0" borderId="0" applyFont="0" applyFill="0" applyBorder="0" applyAlignment="0" applyProtection="0"/>
    <xf numFmtId="193" fontId="48" fillId="0" borderId="0" applyFont="0" applyFill="0" applyBorder="0" applyAlignment="0" applyProtection="0"/>
    <xf numFmtId="168" fontId="45"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193" fontId="48" fillId="0" borderId="0" applyFont="0" applyFill="0" applyBorder="0" applyAlignment="0" applyProtection="0"/>
    <xf numFmtId="178" fontId="42" fillId="0" borderId="0" applyFont="0" applyFill="0" applyBorder="0" applyAlignment="0" applyProtection="0"/>
    <xf numFmtId="191" fontId="45" fillId="0" borderId="0" applyFont="0" applyFill="0" applyBorder="0" applyAlignment="0" applyProtection="0"/>
    <xf numFmtId="208" fontId="50" fillId="0" borderId="0" applyFont="0" applyFill="0" applyBorder="0" applyAlignment="0" applyProtection="0"/>
    <xf numFmtId="191" fontId="23" fillId="0" borderId="0" applyFont="0" applyFill="0" applyBorder="0" applyAlignment="0" applyProtection="0"/>
    <xf numFmtId="209" fontId="45" fillId="0" borderId="0" applyFont="0" applyFill="0" applyBorder="0" applyAlignment="0" applyProtection="0"/>
    <xf numFmtId="191" fontId="45" fillId="0" borderId="0" applyFont="0" applyFill="0" applyBorder="0" applyAlignment="0" applyProtection="0"/>
    <xf numFmtId="210" fontId="45" fillId="0" borderId="0" applyFont="0" applyFill="0" applyBorder="0" applyAlignment="0" applyProtection="0"/>
    <xf numFmtId="191" fontId="45" fillId="0" borderId="0" applyFont="0" applyFill="0" applyBorder="0" applyAlignment="0" applyProtection="0"/>
    <xf numFmtId="191" fontId="45" fillId="0" borderId="0" applyFont="0" applyFill="0" applyBorder="0" applyAlignment="0" applyProtection="0"/>
    <xf numFmtId="211" fontId="45" fillId="0" borderId="0" applyFont="0" applyFill="0" applyBorder="0" applyAlignment="0" applyProtection="0"/>
    <xf numFmtId="212" fontId="45"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213" fontId="15" fillId="0" borderId="0" applyFont="0" applyFill="0" applyBorder="0" applyAlignment="0" applyProtection="0"/>
    <xf numFmtId="173" fontId="42" fillId="0" borderId="0" applyFont="0" applyFill="0" applyBorder="0" applyAlignment="0" applyProtection="0"/>
    <xf numFmtId="173" fontId="49" fillId="0" borderId="0" applyFont="0" applyFill="0" applyBorder="0" applyAlignment="0" applyProtection="0"/>
    <xf numFmtId="211" fontId="45" fillId="0" borderId="0" applyFont="0" applyFill="0" applyBorder="0" applyAlignment="0" applyProtection="0"/>
    <xf numFmtId="41" fontId="47" fillId="0" borderId="0" applyFont="0" applyFill="0" applyBorder="0" applyAlignment="0" applyProtection="0"/>
    <xf numFmtId="211" fontId="45" fillId="0" borderId="0" applyFont="0" applyFill="0" applyBorder="0" applyAlignment="0" applyProtection="0"/>
    <xf numFmtId="168" fontId="45" fillId="0" borderId="0" applyFont="0" applyFill="0" applyBorder="0" applyAlignment="0" applyProtection="0"/>
    <xf numFmtId="178" fontId="42" fillId="0" borderId="0" applyFont="0" applyFill="0" applyBorder="0" applyAlignment="0" applyProtection="0"/>
    <xf numFmtId="171" fontId="45" fillId="0" borderId="0" applyFont="0" applyFill="0" applyBorder="0" applyAlignment="0" applyProtection="0"/>
    <xf numFmtId="199" fontId="45" fillId="0" borderId="0" applyFont="0" applyFill="0" applyBorder="0" applyAlignment="0" applyProtection="0"/>
    <xf numFmtId="199" fontId="45" fillId="0" borderId="0" applyFont="0" applyFill="0" applyBorder="0" applyAlignment="0" applyProtection="0"/>
    <xf numFmtId="187" fontId="45" fillId="0" borderId="0" applyFont="0" applyFill="0" applyBorder="0" applyAlignment="0" applyProtection="0"/>
    <xf numFmtId="199" fontId="45" fillId="0" borderId="0" applyFont="0" applyFill="0" applyBorder="0" applyAlignment="0" applyProtection="0"/>
    <xf numFmtId="179" fontId="45" fillId="0" borderId="0" applyFont="0" applyFill="0" applyBorder="0" applyAlignment="0" applyProtection="0"/>
    <xf numFmtId="199" fontId="45" fillId="0" borderId="0" applyFont="0" applyFill="0" applyBorder="0" applyAlignment="0" applyProtection="0"/>
    <xf numFmtId="200" fontId="45" fillId="0" borderId="0" applyFont="0" applyFill="0" applyBorder="0" applyAlignment="0" applyProtection="0"/>
    <xf numFmtId="199" fontId="45" fillId="0" borderId="0" applyFont="0" applyFill="0" applyBorder="0" applyAlignment="0" applyProtection="0"/>
    <xf numFmtId="187" fontId="45" fillId="0" borderId="0" applyFont="0" applyFill="0" applyBorder="0" applyAlignment="0" applyProtection="0"/>
    <xf numFmtId="0" fontId="45" fillId="0" borderId="0" applyFont="0" applyFill="0" applyBorder="0" applyAlignment="0" applyProtection="0"/>
    <xf numFmtId="179"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43" fontId="45" fillId="0" borderId="0" applyFont="0" applyFill="0" applyBorder="0" applyAlignment="0" applyProtection="0"/>
    <xf numFmtId="165" fontId="45" fillId="0" borderId="0" applyFont="0" applyFill="0" applyBorder="0" applyAlignment="0" applyProtection="0"/>
    <xf numFmtId="179" fontId="45" fillId="0" borderId="0" applyFont="0" applyFill="0" applyBorder="0" applyAlignment="0" applyProtection="0"/>
    <xf numFmtId="171" fontId="45" fillId="0" borderId="0" applyFont="0" applyFill="0" applyBorder="0" applyAlignment="0" applyProtection="0"/>
    <xf numFmtId="165" fontId="45" fillId="0" borderId="0" applyFont="0" applyFill="0" applyBorder="0" applyAlignment="0" applyProtection="0"/>
    <xf numFmtId="171" fontId="45" fillId="0" borderId="0" applyFont="0" applyFill="0" applyBorder="0" applyAlignment="0" applyProtection="0"/>
    <xf numFmtId="165" fontId="45" fillId="0" borderId="0" applyFont="0" applyFill="0" applyBorder="0" applyAlignment="0" applyProtection="0"/>
    <xf numFmtId="179" fontId="45" fillId="0" borderId="0" applyFont="0" applyFill="0" applyBorder="0" applyAlignment="0" applyProtection="0"/>
    <xf numFmtId="199" fontId="45" fillId="0" borderId="0" applyFont="0" applyFill="0" applyBorder="0" applyAlignment="0" applyProtection="0"/>
    <xf numFmtId="199" fontId="45" fillId="0" borderId="0" applyFont="0" applyFill="0" applyBorder="0" applyAlignment="0" applyProtection="0"/>
    <xf numFmtId="43" fontId="45"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179" fontId="45" fillId="0" borderId="0" applyFont="0" applyFill="0" applyBorder="0" applyAlignment="0" applyProtection="0"/>
    <xf numFmtId="199" fontId="45" fillId="0" borderId="0" applyFont="0" applyFill="0" applyBorder="0" applyAlignment="0" applyProtection="0"/>
    <xf numFmtId="202" fontId="45" fillId="0" borderId="0" applyFont="0" applyFill="0" applyBorder="0" applyAlignment="0" applyProtection="0"/>
    <xf numFmtId="202" fontId="45" fillId="0" borderId="0" applyFont="0" applyFill="0" applyBorder="0" applyAlignment="0" applyProtection="0"/>
    <xf numFmtId="179" fontId="45" fillId="0" borderId="0" applyFont="0" applyFill="0" applyBorder="0" applyAlignment="0" applyProtection="0"/>
    <xf numFmtId="201" fontId="24" fillId="0" borderId="0" applyFont="0" applyFill="0" applyBorder="0" applyAlignment="0" applyProtection="0"/>
    <xf numFmtId="202"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179" fontId="45" fillId="0" borderId="0" applyFont="0" applyFill="0" applyBorder="0" applyAlignment="0" applyProtection="0"/>
    <xf numFmtId="199" fontId="45" fillId="0" borderId="0" applyFont="0" applyFill="0" applyBorder="0" applyAlignment="0" applyProtection="0"/>
    <xf numFmtId="199" fontId="45" fillId="0" borderId="0" applyFont="0" applyFill="0" applyBorder="0" applyAlignment="0" applyProtection="0"/>
    <xf numFmtId="179" fontId="45" fillId="0" borderId="0" applyFont="0" applyFill="0" applyBorder="0" applyAlignment="0" applyProtection="0"/>
    <xf numFmtId="199" fontId="45" fillId="0" borderId="0" applyFont="0" applyFill="0" applyBorder="0" applyAlignment="0" applyProtection="0"/>
    <xf numFmtId="179" fontId="45" fillId="0" borderId="0" applyFont="0" applyFill="0" applyBorder="0" applyAlignment="0" applyProtection="0"/>
    <xf numFmtId="203" fontId="45" fillId="0" borderId="0" applyFont="0" applyFill="0" applyBorder="0" applyAlignment="0" applyProtection="0"/>
    <xf numFmtId="204" fontId="45" fillId="0" borderId="0" applyFont="0" applyFill="0" applyBorder="0" applyAlignment="0" applyProtection="0"/>
    <xf numFmtId="198" fontId="47" fillId="0" borderId="0" applyFont="0" applyFill="0" applyBorder="0" applyAlignment="0" applyProtection="0"/>
    <xf numFmtId="198" fontId="47" fillId="0" borderId="0" applyFont="0" applyFill="0" applyBorder="0" applyAlignment="0" applyProtection="0"/>
    <xf numFmtId="205" fontId="15" fillId="0" borderId="0" applyFont="0" applyFill="0" applyBorder="0" applyAlignment="0" applyProtection="0"/>
    <xf numFmtId="206" fontId="14" fillId="0" borderId="0" applyFont="0" applyFill="0" applyBorder="0" applyAlignment="0" applyProtection="0"/>
    <xf numFmtId="207" fontId="49" fillId="0" borderId="0" applyFont="0" applyFill="0" applyBorder="0" applyAlignment="0" applyProtection="0"/>
    <xf numFmtId="203" fontId="45" fillId="0" borderId="0" applyFont="0" applyFill="0" applyBorder="0" applyAlignment="0" applyProtection="0"/>
    <xf numFmtId="43" fontId="23" fillId="0" borderId="0" applyFont="0" applyFill="0" applyBorder="0" applyAlignment="0" applyProtection="0"/>
    <xf numFmtId="201" fontId="24" fillId="0" borderId="0" applyFont="0" applyFill="0" applyBorder="0" applyAlignment="0" applyProtection="0"/>
    <xf numFmtId="203" fontId="45" fillId="0" borderId="0" applyFont="0" applyFill="0" applyBorder="0" applyAlignment="0" applyProtection="0"/>
    <xf numFmtId="171" fontId="45" fillId="0" borderId="0" applyFont="0" applyFill="0" applyBorder="0" applyAlignment="0" applyProtection="0"/>
    <xf numFmtId="165" fontId="45" fillId="0" borderId="0" applyFont="0" applyFill="0" applyBorder="0" applyAlignment="0" applyProtection="0"/>
    <xf numFmtId="169" fontId="45" fillId="0" borderId="0" applyFont="0" applyFill="0" applyBorder="0" applyAlignment="0" applyProtection="0"/>
    <xf numFmtId="214" fontId="45" fillId="0" borderId="0" applyFont="0" applyFill="0" applyBorder="0" applyAlignment="0" applyProtection="0"/>
    <xf numFmtId="214" fontId="45" fillId="0" borderId="0" applyFont="0" applyFill="0" applyBorder="0" applyAlignment="0" applyProtection="0"/>
    <xf numFmtId="188" fontId="45" fillId="0" borderId="0" applyFont="0" applyFill="0" applyBorder="0" applyAlignment="0" applyProtection="0"/>
    <xf numFmtId="214" fontId="45" fillId="0" borderId="0" applyFont="0" applyFill="0" applyBorder="0" applyAlignment="0" applyProtection="0"/>
    <xf numFmtId="189" fontId="45" fillId="0" borderId="0" applyFont="0" applyFill="0" applyBorder="0" applyAlignment="0" applyProtection="0"/>
    <xf numFmtId="214" fontId="45" fillId="0" borderId="0" applyFont="0" applyFill="0" applyBorder="0" applyAlignment="0" applyProtection="0"/>
    <xf numFmtId="215" fontId="45" fillId="0" borderId="0" applyFont="0" applyFill="0" applyBorder="0" applyAlignment="0" applyProtection="0"/>
    <xf numFmtId="214" fontId="45" fillId="0" borderId="0" applyFont="0" applyFill="0" applyBorder="0" applyAlignment="0" applyProtection="0"/>
    <xf numFmtId="188" fontId="45" fillId="0" borderId="0" applyFont="0" applyFill="0" applyBorder="0" applyAlignment="0" applyProtection="0"/>
    <xf numFmtId="189" fontId="23" fillId="0" borderId="0" applyFont="0" applyFill="0" applyBorder="0" applyAlignment="0" applyProtection="0"/>
    <xf numFmtId="41" fontId="45"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64" fontId="45" fillId="0" borderId="0" applyFont="0" applyFill="0" applyBorder="0" applyAlignment="0" applyProtection="0"/>
    <xf numFmtId="216" fontId="45" fillId="0" borderId="0" applyFont="0" applyFill="0" applyBorder="0" applyAlignment="0" applyProtection="0"/>
    <xf numFmtId="189" fontId="45" fillId="0" borderId="0" applyFont="0" applyFill="0" applyBorder="0" applyAlignment="0" applyProtection="0"/>
    <xf numFmtId="169" fontId="45" fillId="0" borderId="0" applyFont="0" applyFill="0" applyBorder="0" applyAlignment="0" applyProtection="0"/>
    <xf numFmtId="164" fontId="45" fillId="0" borderId="0" applyFont="0" applyFill="0" applyBorder="0" applyAlignment="0" applyProtection="0"/>
    <xf numFmtId="169" fontId="45" fillId="0" borderId="0" applyFont="0" applyFill="0" applyBorder="0" applyAlignment="0" applyProtection="0"/>
    <xf numFmtId="164" fontId="45" fillId="0" borderId="0" applyFont="0" applyFill="0" applyBorder="0" applyAlignment="0" applyProtection="0"/>
    <xf numFmtId="189" fontId="45" fillId="0" borderId="0" applyFont="0" applyFill="0" applyBorder="0" applyAlignment="0" applyProtection="0"/>
    <xf numFmtId="214" fontId="45" fillId="0" borderId="0" applyFont="0" applyFill="0" applyBorder="0" applyAlignment="0" applyProtection="0"/>
    <xf numFmtId="214" fontId="45" fillId="0" borderId="0" applyFont="0" applyFill="0" applyBorder="0" applyAlignment="0" applyProtection="0"/>
    <xf numFmtId="41" fontId="45"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89" fontId="45" fillId="0" borderId="0" applyFont="0" applyFill="0" applyBorder="0" applyAlignment="0" applyProtection="0"/>
    <xf numFmtId="214" fontId="45" fillId="0" borderId="0" applyFont="0" applyFill="0" applyBorder="0" applyAlignment="0" applyProtection="0"/>
    <xf numFmtId="217" fontId="45" fillId="0" borderId="0" applyFont="0" applyFill="0" applyBorder="0" applyAlignment="0" applyProtection="0"/>
    <xf numFmtId="217" fontId="45" fillId="0" borderId="0" applyFont="0" applyFill="0" applyBorder="0" applyAlignment="0" applyProtection="0"/>
    <xf numFmtId="189" fontId="45" fillId="0" borderId="0" applyFont="0" applyFill="0" applyBorder="0" applyAlignment="0" applyProtection="0"/>
    <xf numFmtId="174" fontId="24" fillId="0" borderId="0" applyFont="0" applyFill="0" applyBorder="0" applyAlignment="0" applyProtection="0"/>
    <xf numFmtId="217"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89" fontId="45" fillId="0" borderId="0" applyFont="0" applyFill="0" applyBorder="0" applyAlignment="0" applyProtection="0"/>
    <xf numFmtId="214" fontId="45" fillId="0" borderId="0" applyFont="0" applyFill="0" applyBorder="0" applyAlignment="0" applyProtection="0"/>
    <xf numFmtId="214" fontId="45" fillId="0" borderId="0" applyFont="0" applyFill="0" applyBorder="0" applyAlignment="0" applyProtection="0"/>
    <xf numFmtId="189" fontId="45" fillId="0" borderId="0" applyFont="0" applyFill="0" applyBorder="0" applyAlignment="0" applyProtection="0"/>
    <xf numFmtId="214" fontId="45" fillId="0" borderId="0" applyFont="0" applyFill="0" applyBorder="0" applyAlignment="0" applyProtection="0"/>
    <xf numFmtId="189" fontId="45" fillId="0" borderId="0" applyFont="0" applyFill="0" applyBorder="0" applyAlignment="0" applyProtection="0"/>
    <xf numFmtId="218" fontId="45" fillId="0" borderId="0" applyFont="0" applyFill="0" applyBorder="0" applyAlignment="0" applyProtection="0"/>
    <xf numFmtId="219" fontId="45" fillId="0" borderId="0" applyFont="0" applyFill="0" applyBorder="0" applyAlignment="0" applyProtection="0"/>
    <xf numFmtId="173" fontId="47" fillId="0" borderId="0" applyFont="0" applyFill="0" applyBorder="0" applyAlignment="0" applyProtection="0"/>
    <xf numFmtId="173" fontId="47" fillId="0" borderId="0" applyFont="0" applyFill="0" applyBorder="0" applyAlignment="0" applyProtection="0"/>
    <xf numFmtId="220" fontId="15" fillId="0" borderId="0" applyFont="0" applyFill="0" applyBorder="0" applyAlignment="0" applyProtection="0"/>
    <xf numFmtId="43" fontId="14" fillId="0" borderId="0" applyFont="0" applyFill="0" applyBorder="0" applyAlignment="0" applyProtection="0"/>
    <xf numFmtId="221" fontId="49" fillId="0" borderId="0" applyFont="0" applyFill="0" applyBorder="0" applyAlignment="0" applyProtection="0"/>
    <xf numFmtId="218" fontId="45" fillId="0" borderId="0" applyFont="0" applyFill="0" applyBorder="0" applyAlignment="0" applyProtection="0"/>
    <xf numFmtId="174" fontId="24" fillId="0" borderId="0" applyFont="0" applyFill="0" applyBorder="0" applyAlignment="0" applyProtection="0"/>
    <xf numFmtId="218" fontId="45" fillId="0" borderId="0" applyFont="0" applyFill="0" applyBorder="0" applyAlignment="0" applyProtection="0"/>
    <xf numFmtId="169" fontId="45" fillId="0" borderId="0" applyFont="0" applyFill="0" applyBorder="0" applyAlignment="0" applyProtection="0"/>
    <xf numFmtId="164"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90" fontId="45" fillId="0" borderId="0" applyFont="0" applyFill="0" applyBorder="0" applyAlignment="0" applyProtection="0"/>
    <xf numFmtId="191" fontId="23" fillId="0" borderId="0" applyFont="0" applyFill="0" applyBorder="0" applyAlignment="0" applyProtection="0"/>
    <xf numFmtId="192" fontId="45" fillId="0" borderId="0" applyFont="0" applyFill="0" applyBorder="0" applyAlignment="0" applyProtection="0"/>
    <xf numFmtId="193" fontId="48" fillId="0" borderId="0" applyFont="0" applyFill="0" applyBorder="0" applyAlignment="0" applyProtection="0"/>
    <xf numFmtId="195" fontId="45" fillId="0" borderId="0" applyFont="0" applyFill="0" applyBorder="0" applyAlignment="0" applyProtection="0"/>
    <xf numFmtId="195" fontId="45" fillId="0" borderId="0" applyFont="0" applyFill="0" applyBorder="0" applyAlignment="0" applyProtection="0"/>
    <xf numFmtId="41" fontId="47" fillId="0" borderId="0" applyFont="0" applyFill="0" applyBorder="0" applyAlignment="0" applyProtection="0"/>
    <xf numFmtId="195" fontId="45" fillId="0" borderId="0" applyFont="0" applyFill="0" applyBorder="0" applyAlignment="0" applyProtection="0"/>
    <xf numFmtId="193" fontId="48" fillId="0" borderId="0" applyFont="0" applyFill="0" applyBorder="0" applyAlignment="0" applyProtection="0"/>
    <xf numFmtId="168" fontId="45"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193" fontId="48" fillId="0" borderId="0" applyFont="0" applyFill="0" applyBorder="0" applyAlignment="0" applyProtection="0"/>
    <xf numFmtId="178" fontId="42" fillId="0" borderId="0" applyFont="0" applyFill="0" applyBorder="0" applyAlignment="0" applyProtection="0"/>
    <xf numFmtId="191" fontId="45" fillId="0" borderId="0" applyFont="0" applyFill="0" applyBorder="0" applyAlignment="0" applyProtection="0"/>
    <xf numFmtId="208" fontId="50" fillId="0" borderId="0" applyFont="0" applyFill="0" applyBorder="0" applyAlignment="0" applyProtection="0"/>
    <xf numFmtId="191" fontId="23" fillId="0" borderId="0" applyFont="0" applyFill="0" applyBorder="0" applyAlignment="0" applyProtection="0"/>
    <xf numFmtId="209" fontId="45" fillId="0" borderId="0" applyFont="0" applyFill="0" applyBorder="0" applyAlignment="0" applyProtection="0"/>
    <xf numFmtId="191" fontId="45" fillId="0" borderId="0" applyFont="0" applyFill="0" applyBorder="0" applyAlignment="0" applyProtection="0"/>
    <xf numFmtId="210" fontId="45" fillId="0" borderId="0" applyFont="0" applyFill="0" applyBorder="0" applyAlignment="0" applyProtection="0"/>
    <xf numFmtId="191" fontId="45" fillId="0" borderId="0" applyFont="0" applyFill="0" applyBorder="0" applyAlignment="0" applyProtection="0"/>
    <xf numFmtId="191" fontId="45" fillId="0" borderId="0" applyFont="0" applyFill="0" applyBorder="0" applyAlignment="0" applyProtection="0"/>
    <xf numFmtId="211" fontId="45" fillId="0" borderId="0" applyFont="0" applyFill="0" applyBorder="0" applyAlignment="0" applyProtection="0"/>
    <xf numFmtId="212" fontId="45"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213" fontId="15" fillId="0" borderId="0" applyFont="0" applyFill="0" applyBorder="0" applyAlignment="0" applyProtection="0"/>
    <xf numFmtId="173" fontId="42" fillId="0" borderId="0" applyFont="0" applyFill="0" applyBorder="0" applyAlignment="0" applyProtection="0"/>
    <xf numFmtId="173" fontId="49" fillId="0" borderId="0" applyFont="0" applyFill="0" applyBorder="0" applyAlignment="0" applyProtection="0"/>
    <xf numFmtId="211" fontId="45" fillId="0" borderId="0" applyFont="0" applyFill="0" applyBorder="0" applyAlignment="0" applyProtection="0"/>
    <xf numFmtId="41" fontId="23" fillId="0" borderId="0" applyFont="0" applyFill="0" applyBorder="0" applyAlignment="0" applyProtection="0"/>
    <xf numFmtId="41" fontId="47" fillId="0" borderId="0" applyFont="0" applyFill="0" applyBorder="0" applyAlignment="0" applyProtection="0"/>
    <xf numFmtId="211" fontId="45" fillId="0" borderId="0" applyFont="0" applyFill="0" applyBorder="0" applyAlignment="0" applyProtection="0"/>
    <xf numFmtId="168" fontId="45" fillId="0" borderId="0" applyFont="0" applyFill="0" applyBorder="0" applyAlignment="0" applyProtection="0"/>
    <xf numFmtId="178" fontId="42" fillId="0" borderId="0" applyFont="0" applyFill="0" applyBorder="0" applyAlignment="0" applyProtection="0"/>
    <xf numFmtId="43" fontId="23" fillId="0" borderId="0" applyFont="0" applyFill="0" applyBorder="0" applyAlignment="0" applyProtection="0"/>
    <xf numFmtId="169" fontId="45" fillId="0" borderId="0" applyFont="0" applyFill="0" applyBorder="0" applyAlignment="0" applyProtection="0"/>
    <xf numFmtId="214" fontId="45" fillId="0" borderId="0" applyFont="0" applyFill="0" applyBorder="0" applyAlignment="0" applyProtection="0"/>
    <xf numFmtId="214" fontId="45" fillId="0" borderId="0" applyFont="0" applyFill="0" applyBorder="0" applyAlignment="0" applyProtection="0"/>
    <xf numFmtId="188" fontId="45" fillId="0" borderId="0" applyFont="0" applyFill="0" applyBorder="0" applyAlignment="0" applyProtection="0"/>
    <xf numFmtId="214" fontId="45" fillId="0" borderId="0" applyFont="0" applyFill="0" applyBorder="0" applyAlignment="0" applyProtection="0"/>
    <xf numFmtId="189" fontId="45" fillId="0" borderId="0" applyFont="0" applyFill="0" applyBorder="0" applyAlignment="0" applyProtection="0"/>
    <xf numFmtId="214" fontId="45" fillId="0" borderId="0" applyFont="0" applyFill="0" applyBorder="0" applyAlignment="0" applyProtection="0"/>
    <xf numFmtId="215" fontId="45" fillId="0" borderId="0" applyFont="0" applyFill="0" applyBorder="0" applyAlignment="0" applyProtection="0"/>
    <xf numFmtId="214" fontId="45" fillId="0" borderId="0" applyFont="0" applyFill="0" applyBorder="0" applyAlignment="0" applyProtection="0"/>
    <xf numFmtId="188" fontId="45" fillId="0" borderId="0" applyFont="0" applyFill="0" applyBorder="0" applyAlignment="0" applyProtection="0"/>
    <xf numFmtId="189" fontId="23" fillId="0" borderId="0" applyFont="0" applyFill="0" applyBorder="0" applyAlignment="0" applyProtection="0"/>
    <xf numFmtId="41" fontId="45"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64" fontId="45" fillId="0" borderId="0" applyFont="0" applyFill="0" applyBorder="0" applyAlignment="0" applyProtection="0"/>
    <xf numFmtId="216" fontId="45" fillId="0" borderId="0" applyFont="0" applyFill="0" applyBorder="0" applyAlignment="0" applyProtection="0"/>
    <xf numFmtId="189" fontId="45" fillId="0" borderId="0" applyFont="0" applyFill="0" applyBorder="0" applyAlignment="0" applyProtection="0"/>
    <xf numFmtId="169" fontId="45" fillId="0" borderId="0" applyFont="0" applyFill="0" applyBorder="0" applyAlignment="0" applyProtection="0"/>
    <xf numFmtId="164" fontId="45" fillId="0" borderId="0" applyFont="0" applyFill="0" applyBorder="0" applyAlignment="0" applyProtection="0"/>
    <xf numFmtId="169" fontId="45" fillId="0" borderId="0" applyFont="0" applyFill="0" applyBorder="0" applyAlignment="0" applyProtection="0"/>
    <xf numFmtId="164" fontId="45" fillId="0" borderId="0" applyFont="0" applyFill="0" applyBorder="0" applyAlignment="0" applyProtection="0"/>
    <xf numFmtId="189" fontId="45" fillId="0" borderId="0" applyFont="0" applyFill="0" applyBorder="0" applyAlignment="0" applyProtection="0"/>
    <xf numFmtId="214" fontId="45" fillId="0" borderId="0" applyFont="0" applyFill="0" applyBorder="0" applyAlignment="0" applyProtection="0"/>
    <xf numFmtId="214" fontId="45" fillId="0" borderId="0" applyFont="0" applyFill="0" applyBorder="0" applyAlignment="0" applyProtection="0"/>
    <xf numFmtId="41" fontId="45"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89" fontId="45" fillId="0" borderId="0" applyFont="0" applyFill="0" applyBorder="0" applyAlignment="0" applyProtection="0"/>
    <xf numFmtId="214" fontId="45" fillId="0" borderId="0" applyFont="0" applyFill="0" applyBorder="0" applyAlignment="0" applyProtection="0"/>
    <xf numFmtId="217" fontId="45" fillId="0" borderId="0" applyFont="0" applyFill="0" applyBorder="0" applyAlignment="0" applyProtection="0"/>
    <xf numFmtId="217" fontId="45" fillId="0" borderId="0" applyFont="0" applyFill="0" applyBorder="0" applyAlignment="0" applyProtection="0"/>
    <xf numFmtId="189" fontId="45" fillId="0" borderId="0" applyFont="0" applyFill="0" applyBorder="0" applyAlignment="0" applyProtection="0"/>
    <xf numFmtId="174" fontId="24" fillId="0" borderId="0" applyFont="0" applyFill="0" applyBorder="0" applyAlignment="0" applyProtection="0"/>
    <xf numFmtId="217"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89" fontId="45" fillId="0" borderId="0" applyFont="0" applyFill="0" applyBorder="0" applyAlignment="0" applyProtection="0"/>
    <xf numFmtId="214" fontId="45" fillId="0" borderId="0" applyFont="0" applyFill="0" applyBorder="0" applyAlignment="0" applyProtection="0"/>
    <xf numFmtId="214" fontId="45" fillId="0" borderId="0" applyFont="0" applyFill="0" applyBorder="0" applyAlignment="0" applyProtection="0"/>
    <xf numFmtId="189" fontId="45" fillId="0" borderId="0" applyFont="0" applyFill="0" applyBorder="0" applyAlignment="0" applyProtection="0"/>
    <xf numFmtId="214" fontId="45" fillId="0" borderId="0" applyFont="0" applyFill="0" applyBorder="0" applyAlignment="0" applyProtection="0"/>
    <xf numFmtId="189" fontId="45" fillId="0" borderId="0" applyFont="0" applyFill="0" applyBorder="0" applyAlignment="0" applyProtection="0"/>
    <xf numFmtId="218" fontId="45" fillId="0" borderId="0" applyFont="0" applyFill="0" applyBorder="0" applyAlignment="0" applyProtection="0"/>
    <xf numFmtId="219" fontId="45" fillId="0" borderId="0" applyFont="0" applyFill="0" applyBorder="0" applyAlignment="0" applyProtection="0"/>
    <xf numFmtId="173" fontId="47" fillId="0" borderId="0" applyFont="0" applyFill="0" applyBorder="0" applyAlignment="0" applyProtection="0"/>
    <xf numFmtId="173" fontId="47" fillId="0" borderId="0" applyFont="0" applyFill="0" applyBorder="0" applyAlignment="0" applyProtection="0"/>
    <xf numFmtId="220" fontId="15" fillId="0" borderId="0" applyFont="0" applyFill="0" applyBorder="0" applyAlignment="0" applyProtection="0"/>
    <xf numFmtId="43" fontId="14" fillId="0" borderId="0" applyFont="0" applyFill="0" applyBorder="0" applyAlignment="0" applyProtection="0"/>
    <xf numFmtId="221" fontId="49" fillId="0" borderId="0" applyFont="0" applyFill="0" applyBorder="0" applyAlignment="0" applyProtection="0"/>
    <xf numFmtId="218" fontId="45" fillId="0" borderId="0" applyFont="0" applyFill="0" applyBorder="0" applyAlignment="0" applyProtection="0"/>
    <xf numFmtId="174" fontId="24" fillId="0" borderId="0" applyFont="0" applyFill="0" applyBorder="0" applyAlignment="0" applyProtection="0"/>
    <xf numFmtId="218" fontId="45" fillId="0" borderId="0" applyFont="0" applyFill="0" applyBorder="0" applyAlignment="0" applyProtection="0"/>
    <xf numFmtId="169" fontId="45" fillId="0" borderId="0" applyFont="0" applyFill="0" applyBorder="0" applyAlignment="0" applyProtection="0"/>
    <xf numFmtId="164" fontId="45" fillId="0" borderId="0" applyFont="0" applyFill="0" applyBorder="0" applyAlignment="0" applyProtection="0"/>
    <xf numFmtId="171" fontId="45" fillId="0" borderId="0" applyFont="0" applyFill="0" applyBorder="0" applyAlignment="0" applyProtection="0"/>
    <xf numFmtId="199" fontId="45" fillId="0" borderId="0" applyFont="0" applyFill="0" applyBorder="0" applyAlignment="0" applyProtection="0"/>
    <xf numFmtId="199" fontId="45" fillId="0" borderId="0" applyFont="0" applyFill="0" applyBorder="0" applyAlignment="0" applyProtection="0"/>
    <xf numFmtId="187" fontId="45" fillId="0" borderId="0" applyFont="0" applyFill="0" applyBorder="0" applyAlignment="0" applyProtection="0"/>
    <xf numFmtId="199" fontId="45" fillId="0" borderId="0" applyFont="0" applyFill="0" applyBorder="0" applyAlignment="0" applyProtection="0"/>
    <xf numFmtId="179" fontId="45" fillId="0" borderId="0" applyFont="0" applyFill="0" applyBorder="0" applyAlignment="0" applyProtection="0"/>
    <xf numFmtId="199" fontId="45" fillId="0" borderId="0" applyFont="0" applyFill="0" applyBorder="0" applyAlignment="0" applyProtection="0"/>
    <xf numFmtId="200" fontId="45" fillId="0" borderId="0" applyFont="0" applyFill="0" applyBorder="0" applyAlignment="0" applyProtection="0"/>
    <xf numFmtId="199" fontId="45" fillId="0" borderId="0" applyFont="0" applyFill="0" applyBorder="0" applyAlignment="0" applyProtection="0"/>
    <xf numFmtId="187" fontId="45" fillId="0" borderId="0" applyFont="0" applyFill="0" applyBorder="0" applyAlignment="0" applyProtection="0"/>
    <xf numFmtId="0" fontId="45" fillId="0" borderId="0" applyFont="0" applyFill="0" applyBorder="0" applyAlignment="0" applyProtection="0"/>
    <xf numFmtId="179"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43" fontId="45" fillId="0" borderId="0" applyFont="0" applyFill="0" applyBorder="0" applyAlignment="0" applyProtection="0"/>
    <xf numFmtId="165" fontId="45" fillId="0" borderId="0" applyFont="0" applyFill="0" applyBorder="0" applyAlignment="0" applyProtection="0"/>
    <xf numFmtId="179" fontId="45" fillId="0" borderId="0" applyFont="0" applyFill="0" applyBorder="0" applyAlignment="0" applyProtection="0"/>
    <xf numFmtId="171" fontId="45" fillId="0" borderId="0" applyFont="0" applyFill="0" applyBorder="0" applyAlignment="0" applyProtection="0"/>
    <xf numFmtId="165" fontId="45" fillId="0" borderId="0" applyFont="0" applyFill="0" applyBorder="0" applyAlignment="0" applyProtection="0"/>
    <xf numFmtId="171" fontId="45" fillId="0" borderId="0" applyFont="0" applyFill="0" applyBorder="0" applyAlignment="0" applyProtection="0"/>
    <xf numFmtId="165" fontId="45" fillId="0" borderId="0" applyFont="0" applyFill="0" applyBorder="0" applyAlignment="0" applyProtection="0"/>
    <xf numFmtId="179" fontId="45" fillId="0" borderId="0" applyFont="0" applyFill="0" applyBorder="0" applyAlignment="0" applyProtection="0"/>
    <xf numFmtId="199" fontId="45" fillId="0" borderId="0" applyFont="0" applyFill="0" applyBorder="0" applyAlignment="0" applyProtection="0"/>
    <xf numFmtId="199" fontId="45" fillId="0" borderId="0" applyFont="0" applyFill="0" applyBorder="0" applyAlignment="0" applyProtection="0"/>
    <xf numFmtId="43" fontId="45"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179" fontId="45" fillId="0" borderId="0" applyFont="0" applyFill="0" applyBorder="0" applyAlignment="0" applyProtection="0"/>
    <xf numFmtId="199" fontId="45" fillId="0" borderId="0" applyFont="0" applyFill="0" applyBorder="0" applyAlignment="0" applyProtection="0"/>
    <xf numFmtId="202" fontId="45" fillId="0" borderId="0" applyFont="0" applyFill="0" applyBorder="0" applyAlignment="0" applyProtection="0"/>
    <xf numFmtId="202" fontId="45" fillId="0" borderId="0" applyFont="0" applyFill="0" applyBorder="0" applyAlignment="0" applyProtection="0"/>
    <xf numFmtId="179" fontId="45" fillId="0" borderId="0" applyFont="0" applyFill="0" applyBorder="0" applyAlignment="0" applyProtection="0"/>
    <xf numFmtId="201" fontId="24" fillId="0" borderId="0" applyFont="0" applyFill="0" applyBorder="0" applyAlignment="0" applyProtection="0"/>
    <xf numFmtId="202"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179" fontId="45" fillId="0" borderId="0" applyFont="0" applyFill="0" applyBorder="0" applyAlignment="0" applyProtection="0"/>
    <xf numFmtId="199" fontId="45" fillId="0" borderId="0" applyFont="0" applyFill="0" applyBorder="0" applyAlignment="0" applyProtection="0"/>
    <xf numFmtId="199" fontId="45" fillId="0" borderId="0" applyFont="0" applyFill="0" applyBorder="0" applyAlignment="0" applyProtection="0"/>
    <xf numFmtId="179" fontId="45" fillId="0" borderId="0" applyFont="0" applyFill="0" applyBorder="0" applyAlignment="0" applyProtection="0"/>
    <xf numFmtId="199" fontId="45" fillId="0" borderId="0" applyFont="0" applyFill="0" applyBorder="0" applyAlignment="0" applyProtection="0"/>
    <xf numFmtId="179" fontId="45" fillId="0" borderId="0" applyFont="0" applyFill="0" applyBorder="0" applyAlignment="0" applyProtection="0"/>
    <xf numFmtId="203" fontId="45" fillId="0" borderId="0" applyFont="0" applyFill="0" applyBorder="0" applyAlignment="0" applyProtection="0"/>
    <xf numFmtId="204" fontId="45" fillId="0" borderId="0" applyFont="0" applyFill="0" applyBorder="0" applyAlignment="0" applyProtection="0"/>
    <xf numFmtId="198" fontId="47" fillId="0" borderId="0" applyFont="0" applyFill="0" applyBorder="0" applyAlignment="0" applyProtection="0"/>
    <xf numFmtId="198" fontId="47" fillId="0" borderId="0" applyFont="0" applyFill="0" applyBorder="0" applyAlignment="0" applyProtection="0"/>
    <xf numFmtId="205" fontId="15" fillId="0" borderId="0" applyFont="0" applyFill="0" applyBorder="0" applyAlignment="0" applyProtection="0"/>
    <xf numFmtId="206" fontId="14" fillId="0" borderId="0" applyFont="0" applyFill="0" applyBorder="0" applyAlignment="0" applyProtection="0"/>
    <xf numFmtId="207" fontId="49" fillId="0" borderId="0" applyFont="0" applyFill="0" applyBorder="0" applyAlignment="0" applyProtection="0"/>
    <xf numFmtId="203" fontId="45" fillId="0" borderId="0" applyFont="0" applyFill="0" applyBorder="0" applyAlignment="0" applyProtection="0"/>
    <xf numFmtId="201" fontId="24" fillId="0" borderId="0" applyFont="0" applyFill="0" applyBorder="0" applyAlignment="0" applyProtection="0"/>
    <xf numFmtId="203" fontId="45" fillId="0" borderId="0" applyFont="0" applyFill="0" applyBorder="0" applyAlignment="0" applyProtection="0"/>
    <xf numFmtId="171" fontId="45" fillId="0" borderId="0" applyFont="0" applyFill="0" applyBorder="0" applyAlignment="0" applyProtection="0"/>
    <xf numFmtId="165" fontId="45" fillId="0" borderId="0" applyFont="0" applyFill="0" applyBorder="0" applyAlignment="0" applyProtection="0"/>
    <xf numFmtId="41"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96" fontId="23" fillId="0" borderId="0" applyFont="0" applyFill="0" applyBorder="0" applyAlignment="0" applyProtection="0"/>
    <xf numFmtId="193" fontId="23" fillId="0" borderId="0" applyFont="0" applyFill="0" applyBorder="0" applyAlignment="0" applyProtection="0"/>
    <xf numFmtId="181" fontId="23" fillId="0" borderId="0" applyFont="0" applyFill="0" applyBorder="0" applyAlignment="0" applyProtection="0"/>
    <xf numFmtId="193" fontId="23" fillId="0" borderId="0" applyFont="0" applyFill="0" applyBorder="0" applyAlignment="0" applyProtection="0"/>
    <xf numFmtId="197" fontId="2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98" fontId="15" fillId="0" borderId="0" applyFont="0" applyFill="0" applyBorder="0" applyAlignment="0" applyProtection="0"/>
    <xf numFmtId="194" fontId="24" fillId="0" borderId="0" applyFont="0" applyFill="0" applyBorder="0" applyAlignment="0" applyProtection="0"/>
    <xf numFmtId="181" fontId="23" fillId="0" borderId="0" applyFont="0" applyFill="0" applyBorder="0" applyAlignment="0" applyProtection="0"/>
    <xf numFmtId="168" fontId="45"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193" fontId="48" fillId="0" borderId="0" applyFont="0" applyFill="0" applyBorder="0" applyAlignment="0" applyProtection="0"/>
    <xf numFmtId="178" fontId="42"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3" fillId="0" borderId="0">
      <alignment vertical="top"/>
    </xf>
    <xf numFmtId="0" fontId="43"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91" fontId="45" fillId="0" borderId="0" applyFont="0" applyFill="0" applyBorder="0" applyAlignment="0" applyProtection="0"/>
    <xf numFmtId="208" fontId="50" fillId="0" borderId="0" applyFont="0" applyFill="0" applyBorder="0" applyAlignment="0" applyProtection="0"/>
    <xf numFmtId="191" fontId="23" fillId="0" borderId="0" applyFont="0" applyFill="0" applyBorder="0" applyAlignment="0" applyProtection="0"/>
    <xf numFmtId="209" fontId="45" fillId="0" borderId="0" applyFont="0" applyFill="0" applyBorder="0" applyAlignment="0" applyProtection="0"/>
    <xf numFmtId="191" fontId="45" fillId="0" borderId="0" applyFont="0" applyFill="0" applyBorder="0" applyAlignment="0" applyProtection="0"/>
    <xf numFmtId="210" fontId="45" fillId="0" borderId="0" applyFont="0" applyFill="0" applyBorder="0" applyAlignment="0" applyProtection="0"/>
    <xf numFmtId="191" fontId="45" fillId="0" borderId="0" applyFont="0" applyFill="0" applyBorder="0" applyAlignment="0" applyProtection="0"/>
    <xf numFmtId="191" fontId="45" fillId="0" borderId="0" applyFont="0" applyFill="0" applyBorder="0" applyAlignment="0" applyProtection="0"/>
    <xf numFmtId="211" fontId="45" fillId="0" borderId="0" applyFont="0" applyFill="0" applyBorder="0" applyAlignment="0" applyProtection="0"/>
    <xf numFmtId="0" fontId="43" fillId="0" borderId="0">
      <alignment vertical="top"/>
    </xf>
    <xf numFmtId="0" fontId="42" fillId="0" borderId="0"/>
    <xf numFmtId="0" fontId="42" fillId="0" borderId="0"/>
    <xf numFmtId="0" fontId="43" fillId="0" borderId="0">
      <alignment vertical="top"/>
    </xf>
    <xf numFmtId="0" fontId="42" fillId="0" borderId="0"/>
    <xf numFmtId="0" fontId="42" fillId="0" borderId="0"/>
    <xf numFmtId="0" fontId="43" fillId="0" borderId="0">
      <alignment vertical="top"/>
    </xf>
    <xf numFmtId="0" fontId="30" fillId="0" borderId="0"/>
    <xf numFmtId="212" fontId="45"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213" fontId="15" fillId="0" borderId="0" applyFont="0" applyFill="0" applyBorder="0" applyAlignment="0" applyProtection="0"/>
    <xf numFmtId="173" fontId="42" fillId="0" borderId="0" applyFont="0" applyFill="0" applyBorder="0" applyAlignment="0" applyProtection="0"/>
    <xf numFmtId="173" fontId="49" fillId="0" borderId="0" applyFont="0" applyFill="0" applyBorder="0" applyAlignment="0" applyProtection="0"/>
    <xf numFmtId="211" fontId="45" fillId="0" borderId="0" applyFont="0" applyFill="0" applyBorder="0" applyAlignment="0" applyProtection="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41" fontId="23" fillId="0" borderId="0" applyFont="0" applyFill="0" applyBorder="0" applyAlignment="0" applyProtection="0"/>
    <xf numFmtId="169" fontId="45" fillId="0" borderId="0" applyFont="0" applyFill="0" applyBorder="0" applyAlignment="0" applyProtection="0"/>
    <xf numFmtId="214" fontId="45" fillId="0" borderId="0" applyFont="0" applyFill="0" applyBorder="0" applyAlignment="0" applyProtection="0"/>
    <xf numFmtId="214" fontId="45" fillId="0" borderId="0" applyFont="0" applyFill="0" applyBorder="0" applyAlignment="0" applyProtection="0"/>
    <xf numFmtId="188" fontId="45" fillId="0" borderId="0" applyFont="0" applyFill="0" applyBorder="0" applyAlignment="0" applyProtection="0"/>
    <xf numFmtId="214" fontId="45" fillId="0" borderId="0" applyFont="0" applyFill="0" applyBorder="0" applyAlignment="0" applyProtection="0"/>
    <xf numFmtId="189" fontId="45" fillId="0" borderId="0" applyFont="0" applyFill="0" applyBorder="0" applyAlignment="0" applyProtection="0"/>
    <xf numFmtId="214" fontId="45" fillId="0" borderId="0" applyFont="0" applyFill="0" applyBorder="0" applyAlignment="0" applyProtection="0"/>
    <xf numFmtId="215" fontId="45" fillId="0" borderId="0" applyFont="0" applyFill="0" applyBorder="0" applyAlignment="0" applyProtection="0"/>
    <xf numFmtId="214" fontId="45" fillId="0" borderId="0" applyFont="0" applyFill="0" applyBorder="0" applyAlignment="0" applyProtection="0"/>
    <xf numFmtId="188" fontId="45" fillId="0" borderId="0" applyFont="0" applyFill="0" applyBorder="0" applyAlignment="0" applyProtection="0"/>
    <xf numFmtId="189" fontId="23" fillId="0" borderId="0" applyFont="0" applyFill="0" applyBorder="0" applyAlignment="0" applyProtection="0"/>
    <xf numFmtId="41" fontId="45"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64" fontId="45" fillId="0" borderId="0" applyFont="0" applyFill="0" applyBorder="0" applyAlignment="0" applyProtection="0"/>
    <xf numFmtId="216" fontId="45" fillId="0" borderId="0" applyFont="0" applyFill="0" applyBorder="0" applyAlignment="0" applyProtection="0"/>
    <xf numFmtId="189" fontId="45" fillId="0" borderId="0" applyFont="0" applyFill="0" applyBorder="0" applyAlignment="0" applyProtection="0"/>
    <xf numFmtId="169" fontId="45" fillId="0" borderId="0" applyFont="0" applyFill="0" applyBorder="0" applyAlignment="0" applyProtection="0"/>
    <xf numFmtId="164" fontId="45" fillId="0" borderId="0" applyFont="0" applyFill="0" applyBorder="0" applyAlignment="0" applyProtection="0"/>
    <xf numFmtId="169" fontId="45" fillId="0" borderId="0" applyFont="0" applyFill="0" applyBorder="0" applyAlignment="0" applyProtection="0"/>
    <xf numFmtId="164" fontId="45" fillId="0" borderId="0" applyFont="0" applyFill="0" applyBorder="0" applyAlignment="0" applyProtection="0"/>
    <xf numFmtId="189" fontId="45" fillId="0" borderId="0" applyFont="0" applyFill="0" applyBorder="0" applyAlignment="0" applyProtection="0"/>
    <xf numFmtId="214" fontId="45" fillId="0" borderId="0" applyFont="0" applyFill="0" applyBorder="0" applyAlignment="0" applyProtection="0"/>
    <xf numFmtId="214" fontId="45" fillId="0" borderId="0" applyFont="0" applyFill="0" applyBorder="0" applyAlignment="0" applyProtection="0"/>
    <xf numFmtId="41" fontId="45"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89" fontId="45" fillId="0" borderId="0" applyFont="0" applyFill="0" applyBorder="0" applyAlignment="0" applyProtection="0"/>
    <xf numFmtId="214" fontId="45" fillId="0" borderId="0" applyFont="0" applyFill="0" applyBorder="0" applyAlignment="0" applyProtection="0"/>
    <xf numFmtId="217" fontId="45" fillId="0" borderId="0" applyFont="0" applyFill="0" applyBorder="0" applyAlignment="0" applyProtection="0"/>
    <xf numFmtId="217" fontId="45" fillId="0" borderId="0" applyFont="0" applyFill="0" applyBorder="0" applyAlignment="0" applyProtection="0"/>
    <xf numFmtId="189" fontId="45" fillId="0" borderId="0" applyFont="0" applyFill="0" applyBorder="0" applyAlignment="0" applyProtection="0"/>
    <xf numFmtId="174" fontId="24" fillId="0" borderId="0" applyFont="0" applyFill="0" applyBorder="0" applyAlignment="0" applyProtection="0"/>
    <xf numFmtId="217"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89" fontId="45" fillId="0" borderId="0" applyFont="0" applyFill="0" applyBorder="0" applyAlignment="0" applyProtection="0"/>
    <xf numFmtId="214" fontId="45" fillId="0" borderId="0" applyFont="0" applyFill="0" applyBorder="0" applyAlignment="0" applyProtection="0"/>
    <xf numFmtId="214" fontId="45" fillId="0" borderId="0" applyFont="0" applyFill="0" applyBorder="0" applyAlignment="0" applyProtection="0"/>
    <xf numFmtId="189" fontId="45" fillId="0" borderId="0" applyFont="0" applyFill="0" applyBorder="0" applyAlignment="0" applyProtection="0"/>
    <xf numFmtId="214" fontId="45" fillId="0" borderId="0" applyFont="0" applyFill="0" applyBorder="0" applyAlignment="0" applyProtection="0"/>
    <xf numFmtId="189" fontId="45" fillId="0" borderId="0" applyFont="0" applyFill="0" applyBorder="0" applyAlignment="0" applyProtection="0"/>
    <xf numFmtId="218" fontId="45" fillId="0" borderId="0" applyFont="0" applyFill="0" applyBorder="0" applyAlignment="0" applyProtection="0"/>
    <xf numFmtId="219" fontId="45" fillId="0" borderId="0" applyFont="0" applyFill="0" applyBorder="0" applyAlignment="0" applyProtection="0"/>
    <xf numFmtId="173" fontId="47" fillId="0" borderId="0" applyFont="0" applyFill="0" applyBorder="0" applyAlignment="0" applyProtection="0"/>
    <xf numFmtId="173" fontId="47" fillId="0" borderId="0" applyFont="0" applyFill="0" applyBorder="0" applyAlignment="0" applyProtection="0"/>
    <xf numFmtId="220" fontId="15" fillId="0" borderId="0" applyFont="0" applyFill="0" applyBorder="0" applyAlignment="0" applyProtection="0"/>
    <xf numFmtId="43" fontId="14" fillId="0" borderId="0" applyFont="0" applyFill="0" applyBorder="0" applyAlignment="0" applyProtection="0"/>
    <xf numFmtId="221" fontId="49" fillId="0" borderId="0" applyFont="0" applyFill="0" applyBorder="0" applyAlignment="0" applyProtection="0"/>
    <xf numFmtId="218" fontId="45" fillId="0" borderId="0" applyFont="0" applyFill="0" applyBorder="0" applyAlignment="0" applyProtection="0"/>
    <xf numFmtId="174" fontId="24" fillId="0" borderId="0" applyFont="0" applyFill="0" applyBorder="0" applyAlignment="0" applyProtection="0"/>
    <xf numFmtId="218" fontId="45" fillId="0" borderId="0" applyFont="0" applyFill="0" applyBorder="0" applyAlignment="0" applyProtection="0"/>
    <xf numFmtId="169" fontId="45" fillId="0" borderId="0" applyFont="0" applyFill="0" applyBorder="0" applyAlignment="0" applyProtection="0"/>
    <xf numFmtId="164" fontId="45" fillId="0" borderId="0" applyFont="0" applyFill="0" applyBorder="0" applyAlignment="0" applyProtection="0"/>
    <xf numFmtId="171" fontId="45" fillId="0" borderId="0" applyFont="0" applyFill="0" applyBorder="0" applyAlignment="0" applyProtection="0"/>
    <xf numFmtId="199" fontId="45" fillId="0" borderId="0" applyFont="0" applyFill="0" applyBorder="0" applyAlignment="0" applyProtection="0"/>
    <xf numFmtId="199" fontId="45" fillId="0" borderId="0" applyFont="0" applyFill="0" applyBorder="0" applyAlignment="0" applyProtection="0"/>
    <xf numFmtId="187" fontId="45" fillId="0" borderId="0" applyFont="0" applyFill="0" applyBorder="0" applyAlignment="0" applyProtection="0"/>
    <xf numFmtId="199" fontId="45" fillId="0" borderId="0" applyFont="0" applyFill="0" applyBorder="0" applyAlignment="0" applyProtection="0"/>
    <xf numFmtId="179" fontId="45" fillId="0" borderId="0" applyFont="0" applyFill="0" applyBorder="0" applyAlignment="0" applyProtection="0"/>
    <xf numFmtId="199" fontId="45" fillId="0" borderId="0" applyFont="0" applyFill="0" applyBorder="0" applyAlignment="0" applyProtection="0"/>
    <xf numFmtId="200" fontId="45" fillId="0" borderId="0" applyFont="0" applyFill="0" applyBorder="0" applyAlignment="0" applyProtection="0"/>
    <xf numFmtId="199" fontId="45" fillId="0" borderId="0" applyFont="0" applyFill="0" applyBorder="0" applyAlignment="0" applyProtection="0"/>
    <xf numFmtId="187" fontId="45" fillId="0" borderId="0" applyFont="0" applyFill="0" applyBorder="0" applyAlignment="0" applyProtection="0"/>
    <xf numFmtId="0" fontId="45" fillId="0" borderId="0" applyFont="0" applyFill="0" applyBorder="0" applyAlignment="0" applyProtection="0"/>
    <xf numFmtId="179"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43" fontId="45" fillId="0" borderId="0" applyFont="0" applyFill="0" applyBorder="0" applyAlignment="0" applyProtection="0"/>
    <xf numFmtId="165" fontId="45" fillId="0" borderId="0" applyFont="0" applyFill="0" applyBorder="0" applyAlignment="0" applyProtection="0"/>
    <xf numFmtId="179" fontId="45" fillId="0" borderId="0" applyFont="0" applyFill="0" applyBorder="0" applyAlignment="0" applyProtection="0"/>
    <xf numFmtId="171" fontId="45" fillId="0" borderId="0" applyFont="0" applyFill="0" applyBorder="0" applyAlignment="0" applyProtection="0"/>
    <xf numFmtId="165" fontId="45" fillId="0" borderId="0" applyFont="0" applyFill="0" applyBorder="0" applyAlignment="0" applyProtection="0"/>
    <xf numFmtId="171" fontId="45" fillId="0" borderId="0" applyFont="0" applyFill="0" applyBorder="0" applyAlignment="0" applyProtection="0"/>
    <xf numFmtId="165" fontId="45" fillId="0" borderId="0" applyFont="0" applyFill="0" applyBorder="0" applyAlignment="0" applyProtection="0"/>
    <xf numFmtId="179" fontId="45" fillId="0" borderId="0" applyFont="0" applyFill="0" applyBorder="0" applyAlignment="0" applyProtection="0"/>
    <xf numFmtId="199" fontId="45" fillId="0" borderId="0" applyFont="0" applyFill="0" applyBorder="0" applyAlignment="0" applyProtection="0"/>
    <xf numFmtId="199" fontId="45" fillId="0" borderId="0" applyFont="0" applyFill="0" applyBorder="0" applyAlignment="0" applyProtection="0"/>
    <xf numFmtId="43" fontId="45"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179" fontId="45" fillId="0" borderId="0" applyFont="0" applyFill="0" applyBorder="0" applyAlignment="0" applyProtection="0"/>
    <xf numFmtId="199" fontId="45" fillId="0" borderId="0" applyFont="0" applyFill="0" applyBorder="0" applyAlignment="0" applyProtection="0"/>
    <xf numFmtId="202" fontId="45" fillId="0" borderId="0" applyFont="0" applyFill="0" applyBorder="0" applyAlignment="0" applyProtection="0"/>
    <xf numFmtId="202" fontId="45" fillId="0" borderId="0" applyFont="0" applyFill="0" applyBorder="0" applyAlignment="0" applyProtection="0"/>
    <xf numFmtId="179" fontId="45" fillId="0" borderId="0" applyFont="0" applyFill="0" applyBorder="0" applyAlignment="0" applyProtection="0"/>
    <xf numFmtId="201" fontId="24" fillId="0" borderId="0" applyFont="0" applyFill="0" applyBorder="0" applyAlignment="0" applyProtection="0"/>
    <xf numFmtId="202"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179" fontId="45" fillId="0" borderId="0" applyFont="0" applyFill="0" applyBorder="0" applyAlignment="0" applyProtection="0"/>
    <xf numFmtId="199" fontId="45" fillId="0" borderId="0" applyFont="0" applyFill="0" applyBorder="0" applyAlignment="0" applyProtection="0"/>
    <xf numFmtId="199" fontId="45" fillId="0" borderId="0" applyFont="0" applyFill="0" applyBorder="0" applyAlignment="0" applyProtection="0"/>
    <xf numFmtId="179" fontId="45" fillId="0" borderId="0" applyFont="0" applyFill="0" applyBorder="0" applyAlignment="0" applyProtection="0"/>
    <xf numFmtId="199" fontId="45" fillId="0" borderId="0" applyFont="0" applyFill="0" applyBorder="0" applyAlignment="0" applyProtection="0"/>
    <xf numFmtId="179" fontId="45" fillId="0" borderId="0" applyFont="0" applyFill="0" applyBorder="0" applyAlignment="0" applyProtection="0"/>
    <xf numFmtId="203" fontId="45" fillId="0" borderId="0" applyFont="0" applyFill="0" applyBorder="0" applyAlignment="0" applyProtection="0"/>
    <xf numFmtId="204" fontId="45" fillId="0" borderId="0" applyFont="0" applyFill="0" applyBorder="0" applyAlignment="0" applyProtection="0"/>
    <xf numFmtId="198" fontId="47" fillId="0" borderId="0" applyFont="0" applyFill="0" applyBorder="0" applyAlignment="0" applyProtection="0"/>
    <xf numFmtId="198" fontId="47" fillId="0" borderId="0" applyFont="0" applyFill="0" applyBorder="0" applyAlignment="0" applyProtection="0"/>
    <xf numFmtId="205" fontId="15" fillId="0" borderId="0" applyFont="0" applyFill="0" applyBorder="0" applyAlignment="0" applyProtection="0"/>
    <xf numFmtId="206" fontId="14" fillId="0" borderId="0" applyFont="0" applyFill="0" applyBorder="0" applyAlignment="0" applyProtection="0"/>
    <xf numFmtId="207" fontId="49" fillId="0" borderId="0" applyFont="0" applyFill="0" applyBorder="0" applyAlignment="0" applyProtection="0"/>
    <xf numFmtId="203" fontId="45" fillId="0" borderId="0" applyFont="0" applyFill="0" applyBorder="0" applyAlignment="0" applyProtection="0"/>
    <xf numFmtId="201" fontId="24" fillId="0" borderId="0" applyFont="0" applyFill="0" applyBorder="0" applyAlignment="0" applyProtection="0"/>
    <xf numFmtId="203" fontId="45" fillId="0" borderId="0" applyFont="0" applyFill="0" applyBorder="0" applyAlignment="0" applyProtection="0"/>
    <xf numFmtId="171" fontId="45" fillId="0" borderId="0" applyFont="0" applyFill="0" applyBorder="0" applyAlignment="0" applyProtection="0"/>
    <xf numFmtId="165" fontId="45"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96" fontId="23" fillId="0" borderId="0" applyFont="0" applyFill="0" applyBorder="0" applyAlignment="0" applyProtection="0"/>
    <xf numFmtId="193" fontId="23" fillId="0" borderId="0" applyFont="0" applyFill="0" applyBorder="0" applyAlignment="0" applyProtection="0"/>
    <xf numFmtId="181" fontId="23" fillId="0" borderId="0" applyFont="0" applyFill="0" applyBorder="0" applyAlignment="0" applyProtection="0"/>
    <xf numFmtId="193" fontId="23" fillId="0" borderId="0" applyFont="0" applyFill="0" applyBorder="0" applyAlignment="0" applyProtection="0"/>
    <xf numFmtId="197" fontId="2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98" fontId="15" fillId="0" borderId="0" applyFont="0" applyFill="0" applyBorder="0" applyAlignment="0" applyProtection="0"/>
    <xf numFmtId="194" fontId="24" fillId="0" borderId="0" applyFont="0" applyFill="0" applyBorder="0" applyAlignment="0" applyProtection="0"/>
    <xf numFmtId="181" fontId="23" fillId="0" borderId="0" applyFont="0" applyFill="0" applyBorder="0" applyAlignment="0" applyProtection="0"/>
    <xf numFmtId="43" fontId="23" fillId="0" borderId="0" applyFont="0" applyFill="0" applyBorder="0" applyAlignment="0" applyProtection="0"/>
    <xf numFmtId="0" fontId="44" fillId="0" borderId="0"/>
    <xf numFmtId="0" fontId="43" fillId="0" borderId="0">
      <alignment vertical="top"/>
    </xf>
    <xf numFmtId="0" fontId="43"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211" fontId="45" fillId="0" borderId="0" applyFont="0" applyFill="0" applyBorder="0" applyAlignment="0" applyProtection="0"/>
    <xf numFmtId="0" fontId="43" fillId="0" borderId="0">
      <alignment vertical="top"/>
    </xf>
    <xf numFmtId="0" fontId="44" fillId="0" borderId="0"/>
    <xf numFmtId="0" fontId="43" fillId="0" borderId="0">
      <alignment vertical="top"/>
    </xf>
    <xf numFmtId="0" fontId="43"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43" fillId="0" borderId="0">
      <alignment vertical="top"/>
    </xf>
    <xf numFmtId="0" fontId="43" fillId="0" borderId="0">
      <alignment vertical="top"/>
    </xf>
    <xf numFmtId="0" fontId="30" fillId="0" borderId="0"/>
    <xf numFmtId="0" fontId="43" fillId="0" borderId="0">
      <alignment vertical="top"/>
    </xf>
    <xf numFmtId="197" fontId="23" fillId="0" borderId="0" applyFont="0" applyFill="0" applyBorder="0" applyAlignment="0" applyProtection="0"/>
    <xf numFmtId="0" fontId="43" fillId="0" borderId="0">
      <alignment vertical="top"/>
    </xf>
    <xf numFmtId="168" fontId="45"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22" fontId="32" fillId="0" borderId="0" applyFont="0" applyFill="0" applyBorder="0" applyAlignment="0" applyProtection="0"/>
    <xf numFmtId="223" fontId="14" fillId="0" borderId="0" applyFont="0" applyFill="0" applyBorder="0" applyAlignment="0" applyProtection="0"/>
    <xf numFmtId="167" fontId="37" fillId="0" borderId="0" applyFont="0" applyFill="0" applyBorder="0" applyAlignment="0" applyProtection="0"/>
    <xf numFmtId="224" fontId="51" fillId="0" borderId="0" applyFont="0" applyFill="0" applyBorder="0" applyAlignment="0" applyProtection="0"/>
    <xf numFmtId="223" fontId="14" fillId="0" borderId="0" applyFont="0" applyFill="0" applyBorder="0" applyAlignment="0" applyProtection="0"/>
    <xf numFmtId="225" fontId="37" fillId="0" borderId="0" applyFont="0" applyFill="0" applyBorder="0" applyAlignment="0" applyProtection="0"/>
    <xf numFmtId="226" fontId="51" fillId="0" borderId="0" applyFont="0" applyFill="0" applyBorder="0" applyAlignment="0" applyProtection="0"/>
    <xf numFmtId="227" fontId="52" fillId="0" borderId="0" applyFont="0" applyFill="0" applyBorder="0" applyAlignment="0" applyProtection="0"/>
    <xf numFmtId="228" fontId="52" fillId="0" borderId="0" applyFont="0" applyFill="0" applyBorder="0" applyAlignment="0" applyProtection="0"/>
    <xf numFmtId="0" fontId="53" fillId="0" borderId="0"/>
    <xf numFmtId="229" fontId="14" fillId="0" borderId="0" applyFont="0" applyFill="0" applyBorder="0" applyAlignment="0" applyProtection="0"/>
    <xf numFmtId="228" fontId="54" fillId="0" borderId="0" applyFont="0" applyFill="0" applyBorder="0" applyAlignment="0" applyProtection="0"/>
    <xf numFmtId="0" fontId="55" fillId="0" borderId="0"/>
    <xf numFmtId="0" fontId="56" fillId="0" borderId="0"/>
    <xf numFmtId="0" fontId="56" fillId="0" borderId="0"/>
    <xf numFmtId="0" fontId="29" fillId="0" borderId="0"/>
    <xf numFmtId="1" fontId="57" fillId="0" borderId="2" applyBorder="0" applyAlignment="0">
      <alignment horizontal="center"/>
    </xf>
    <xf numFmtId="0" fontId="58" fillId="0" borderId="0"/>
    <xf numFmtId="3" fontId="26" fillId="0" borderId="2"/>
    <xf numFmtId="3" fontId="26" fillId="0" borderId="2"/>
    <xf numFmtId="1" fontId="57" fillId="0" borderId="2" applyBorder="0" applyAlignment="0">
      <alignment horizontal="center"/>
    </xf>
    <xf numFmtId="222" fontId="32" fillId="0" borderId="0" applyFont="0" applyFill="0" applyBorder="0" applyAlignment="0" applyProtection="0"/>
    <xf numFmtId="0" fontId="59" fillId="2" borderId="0"/>
    <xf numFmtId="0" fontId="60" fillId="0" borderId="0"/>
    <xf numFmtId="0" fontId="17" fillId="2" borderId="0"/>
    <xf numFmtId="0" fontId="17" fillId="2" borderId="0"/>
    <xf numFmtId="0" fontId="59" fillId="2" borderId="0"/>
    <xf numFmtId="0" fontId="59" fillId="2" borderId="0"/>
    <xf numFmtId="222" fontId="32" fillId="0" borderId="0" applyFont="0" applyFill="0" applyBorder="0" applyAlignment="0" applyProtection="0"/>
    <xf numFmtId="0" fontId="59" fillId="2" borderId="0"/>
    <xf numFmtId="0" fontId="59"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59" fillId="2" borderId="0"/>
    <xf numFmtId="0" fontId="17" fillId="2" borderId="0"/>
    <xf numFmtId="0" fontId="59" fillId="3" borderId="0"/>
    <xf numFmtId="0" fontId="59" fillId="2" borderId="0"/>
    <xf numFmtId="0" fontId="17" fillId="2" borderId="0"/>
    <xf numFmtId="0" fontId="17" fillId="2" borderId="0"/>
    <xf numFmtId="0" fontId="17" fillId="2" borderId="0"/>
    <xf numFmtId="0" fontId="59" fillId="2" borderId="0"/>
    <xf numFmtId="0" fontId="59" fillId="2" borderId="0"/>
    <xf numFmtId="0" fontId="17" fillId="2" borderId="0"/>
    <xf numFmtId="0" fontId="17" fillId="2" borderId="0"/>
    <xf numFmtId="0" fontId="59" fillId="2" borderId="0"/>
    <xf numFmtId="0" fontId="59" fillId="2" borderId="0"/>
    <xf numFmtId="0" fontId="17" fillId="2" borderId="0"/>
    <xf numFmtId="0" fontId="17" fillId="2" borderId="0"/>
    <xf numFmtId="0" fontId="59" fillId="2" borderId="0"/>
    <xf numFmtId="0" fontId="17" fillId="2" borderId="0"/>
    <xf numFmtId="0" fontId="17" fillId="2" borderId="0"/>
    <xf numFmtId="0" fontId="59" fillId="2" borderId="0"/>
    <xf numFmtId="0" fontId="59" fillId="2" borderId="0"/>
    <xf numFmtId="0" fontId="59" fillId="2" borderId="0"/>
    <xf numFmtId="0" fontId="17" fillId="2" borderId="0"/>
    <xf numFmtId="0" fontId="17" fillId="2" borderId="0"/>
    <xf numFmtId="0" fontId="59" fillId="2" borderId="0"/>
    <xf numFmtId="0" fontId="59" fillId="2" borderId="0"/>
    <xf numFmtId="0" fontId="17" fillId="2" borderId="0"/>
    <xf numFmtId="0" fontId="17" fillId="2" borderId="0"/>
    <xf numFmtId="0" fontId="59" fillId="2" borderId="0"/>
    <xf numFmtId="0" fontId="17" fillId="2" borderId="0"/>
    <xf numFmtId="0" fontId="17" fillId="2" borderId="0"/>
    <xf numFmtId="0" fontId="59" fillId="2" borderId="0"/>
    <xf numFmtId="0" fontId="59" fillId="2" borderId="0"/>
    <xf numFmtId="0" fontId="59" fillId="2" borderId="0"/>
    <xf numFmtId="222" fontId="32" fillId="0" borderId="0" applyFont="0" applyFill="0" applyBorder="0" applyAlignment="0" applyProtection="0"/>
    <xf numFmtId="0" fontId="59" fillId="2" borderId="0"/>
    <xf numFmtId="0" fontId="59"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59" fillId="2" borderId="0"/>
    <xf numFmtId="0" fontId="59" fillId="2" borderId="0"/>
    <xf numFmtId="0" fontId="59" fillId="2" borderId="0"/>
    <xf numFmtId="0" fontId="61" fillId="0" borderId="1" applyFont="0" applyAlignment="0">
      <alignment horizontal="left"/>
    </xf>
    <xf numFmtId="0" fontId="59" fillId="2" borderId="0"/>
    <xf numFmtId="0" fontId="59" fillId="3" borderId="0"/>
    <xf numFmtId="0" fontId="59" fillId="2" borderId="0"/>
    <xf numFmtId="0" fontId="17" fillId="2" borderId="0"/>
    <xf numFmtId="0" fontId="17" fillId="2" borderId="0"/>
    <xf numFmtId="0" fontId="17" fillId="2" borderId="0"/>
    <xf numFmtId="0" fontId="17" fillId="2" borderId="0"/>
    <xf numFmtId="0" fontId="59" fillId="2" borderId="0"/>
    <xf numFmtId="0" fontId="59" fillId="2" borderId="0"/>
    <xf numFmtId="0" fontId="59" fillId="2" borderId="0"/>
    <xf numFmtId="0" fontId="59" fillId="2" borderId="0"/>
    <xf numFmtId="0" fontId="17" fillId="2" borderId="0"/>
    <xf numFmtId="0" fontId="17" fillId="2" borderId="0"/>
    <xf numFmtId="0" fontId="17" fillId="2" borderId="0"/>
    <xf numFmtId="0" fontId="17" fillId="2" borderId="0"/>
    <xf numFmtId="0" fontId="59" fillId="2" borderId="0"/>
    <xf numFmtId="0" fontId="59" fillId="2" borderId="0"/>
    <xf numFmtId="0" fontId="59" fillId="2" borderId="0"/>
    <xf numFmtId="0" fontId="59" fillId="2" borderId="0"/>
    <xf numFmtId="0" fontId="59" fillId="2" borderId="0"/>
    <xf numFmtId="0" fontId="17" fillId="2" borderId="0"/>
    <xf numFmtId="0" fontId="17" fillId="2" borderId="0"/>
    <xf numFmtId="0" fontId="17" fillId="2" borderId="0"/>
    <xf numFmtId="0" fontId="17" fillId="2" borderId="0"/>
    <xf numFmtId="0" fontId="17" fillId="2" borderId="0"/>
    <xf numFmtId="0" fontId="17" fillId="2" borderId="0"/>
    <xf numFmtId="0" fontId="59"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59" fillId="2" borderId="0"/>
    <xf numFmtId="0" fontId="17" fillId="2" borderId="0"/>
    <xf numFmtId="0" fontId="17" fillId="2" borderId="0"/>
    <xf numFmtId="0" fontId="17" fillId="2" borderId="0"/>
    <xf numFmtId="0" fontId="17" fillId="2" borderId="0"/>
    <xf numFmtId="0" fontId="59"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59" fillId="2" borderId="0"/>
    <xf numFmtId="0" fontId="17" fillId="2" borderId="0"/>
    <xf numFmtId="0" fontId="17" fillId="2" borderId="0"/>
    <xf numFmtId="0" fontId="59" fillId="3"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59" fillId="2" borderId="0"/>
    <xf numFmtId="0" fontId="59" fillId="2" borderId="0"/>
    <xf numFmtId="0" fontId="59" fillId="2" borderId="0"/>
    <xf numFmtId="0" fontId="17" fillId="2" borderId="0"/>
    <xf numFmtId="0" fontId="17" fillId="2" borderId="0"/>
    <xf numFmtId="0" fontId="59" fillId="2" borderId="0"/>
    <xf numFmtId="0" fontId="59"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59" fillId="3" borderId="0"/>
    <xf numFmtId="0" fontId="59" fillId="2" borderId="0"/>
    <xf numFmtId="0" fontId="17" fillId="2" borderId="0"/>
    <xf numFmtId="0" fontId="17" fillId="2" borderId="0"/>
    <xf numFmtId="0" fontId="59" fillId="3" borderId="0"/>
    <xf numFmtId="0" fontId="17" fillId="2" borderId="0"/>
    <xf numFmtId="0" fontId="17" fillId="2" borderId="0"/>
    <xf numFmtId="0" fontId="17" fillId="2" borderId="0"/>
    <xf numFmtId="0" fontId="17" fillId="2" borderId="0"/>
    <xf numFmtId="0" fontId="17" fillId="2" borderId="0"/>
    <xf numFmtId="0" fontId="17" fillId="2" borderId="0"/>
    <xf numFmtId="0" fontId="61" fillId="0" borderId="1" applyFont="0" applyAlignment="0">
      <alignment horizontal="left"/>
    </xf>
    <xf numFmtId="0" fontId="59" fillId="2" borderId="0"/>
    <xf numFmtId="0" fontId="59" fillId="2" borderId="0"/>
    <xf numFmtId="0" fontId="59"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59" fillId="2" borderId="0"/>
    <xf numFmtId="0" fontId="59" fillId="2" borderId="0"/>
    <xf numFmtId="0" fontId="59" fillId="2" borderId="0"/>
    <xf numFmtId="0" fontId="17" fillId="2" borderId="0"/>
    <xf numFmtId="0" fontId="17" fillId="2" borderId="0"/>
    <xf numFmtId="0" fontId="59" fillId="2" borderId="0"/>
    <xf numFmtId="0" fontId="59" fillId="2" borderId="0"/>
    <xf numFmtId="0" fontId="59" fillId="2" borderId="0"/>
    <xf numFmtId="0" fontId="59" fillId="2" borderId="0"/>
    <xf numFmtId="0" fontId="17" fillId="2" borderId="0"/>
    <xf numFmtId="0" fontId="17" fillId="2" borderId="0"/>
    <xf numFmtId="222" fontId="32" fillId="0" borderId="0" applyFont="0" applyFill="0" applyBorder="0" applyAlignment="0" applyProtection="0"/>
    <xf numFmtId="0" fontId="17" fillId="2" borderId="0"/>
    <xf numFmtId="0" fontId="59" fillId="2" borderId="0"/>
    <xf numFmtId="0" fontId="17" fillId="2" borderId="0"/>
    <xf numFmtId="0" fontId="59" fillId="2" borderId="0"/>
    <xf numFmtId="0" fontId="17" fillId="2" borderId="0"/>
    <xf numFmtId="0" fontId="17" fillId="2" borderId="0"/>
    <xf numFmtId="0" fontId="59" fillId="2" borderId="0"/>
    <xf numFmtId="0" fontId="59" fillId="2" borderId="0"/>
    <xf numFmtId="0" fontId="17" fillId="2" borderId="0"/>
    <xf numFmtId="0" fontId="17" fillId="2" borderId="0"/>
    <xf numFmtId="0" fontId="59" fillId="2" borderId="0"/>
    <xf numFmtId="0" fontId="59" fillId="2" borderId="0"/>
    <xf numFmtId="0" fontId="17" fillId="2" borderId="0"/>
    <xf numFmtId="0" fontId="17" fillId="2" borderId="0"/>
    <xf numFmtId="0" fontId="59" fillId="2" borderId="0"/>
    <xf numFmtId="0" fontId="17" fillId="2" borderId="0"/>
    <xf numFmtId="0" fontId="17" fillId="2" borderId="0"/>
    <xf numFmtId="0" fontId="61" fillId="0" borderId="1" applyFont="0" applyAlignment="0">
      <alignment horizontal="left"/>
    </xf>
    <xf numFmtId="0" fontId="59" fillId="2" borderId="0"/>
    <xf numFmtId="0" fontId="59" fillId="2" borderId="0"/>
    <xf numFmtId="0" fontId="59" fillId="2" borderId="0"/>
    <xf numFmtId="0" fontId="59"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59" fillId="2" borderId="0"/>
    <xf numFmtId="0" fontId="17" fillId="2" borderId="0"/>
    <xf numFmtId="0" fontId="17" fillId="2" borderId="0"/>
    <xf numFmtId="0" fontId="62" fillId="0" borderId="2" applyNumberFormat="0" applyFont="0" applyBorder="0">
      <alignment horizontal="left" indent="2"/>
    </xf>
    <xf numFmtId="0" fontId="62" fillId="0" borderId="2" applyNumberFormat="0" applyFont="0" applyBorder="0">
      <alignment horizontal="left" indent="2"/>
    </xf>
    <xf numFmtId="9" fontId="63" fillId="0" borderId="0" applyFont="0" applyFill="0" applyBorder="0" applyAlignment="0" applyProtection="0"/>
    <xf numFmtId="9" fontId="64" fillId="0" borderId="0" applyFont="0" applyFill="0" applyBorder="0" applyAlignment="0" applyProtection="0"/>
    <xf numFmtId="175" fontId="65" fillId="0" borderId="0">
      <alignment horizontal="centerContinuous"/>
    </xf>
    <xf numFmtId="0" fontId="66" fillId="0" borderId="0"/>
    <xf numFmtId="0" fontId="6" fillId="0" borderId="1" applyFont="0" applyFill="0" applyAlignment="0"/>
    <xf numFmtId="0" fontId="67" fillId="0" borderId="0" applyAlignment="0"/>
    <xf numFmtId="9" fontId="68" fillId="0" borderId="0" applyBorder="0" applyAlignment="0" applyProtection="0"/>
    <xf numFmtId="0" fontId="69" fillId="2" borderId="0"/>
    <xf numFmtId="0" fontId="69" fillId="2" borderId="0"/>
    <xf numFmtId="0" fontId="17" fillId="2" borderId="0"/>
    <xf numFmtId="0" fontId="17" fillId="2" borderId="0"/>
    <xf numFmtId="0" fontId="69" fillId="2" borderId="0"/>
    <xf numFmtId="0" fontId="69"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69" fillId="3" borderId="0"/>
    <xf numFmtId="0" fontId="17" fillId="2" borderId="0"/>
    <xf numFmtId="0" fontId="17" fillId="2" borderId="0"/>
    <xf numFmtId="0" fontId="17" fillId="2" borderId="0"/>
    <xf numFmtId="0" fontId="69" fillId="2" borderId="0"/>
    <xf numFmtId="0" fontId="69" fillId="2" borderId="0"/>
    <xf numFmtId="0" fontId="17" fillId="2" borderId="0"/>
    <xf numFmtId="0" fontId="17" fillId="2" borderId="0"/>
    <xf numFmtId="0" fontId="69" fillId="2" borderId="0"/>
    <xf numFmtId="0" fontId="69" fillId="2" borderId="0"/>
    <xf numFmtId="0" fontId="17" fillId="2" borderId="0"/>
    <xf numFmtId="0" fontId="17" fillId="2" borderId="0"/>
    <xf numFmtId="0" fontId="69" fillId="2" borderId="0"/>
    <xf numFmtId="0" fontId="17" fillId="2" borderId="0"/>
    <xf numFmtId="0" fontId="17" fillId="2" borderId="0"/>
    <xf numFmtId="0" fontId="69" fillId="2" borderId="0"/>
    <xf numFmtId="0" fontId="69" fillId="2" borderId="0"/>
    <xf numFmtId="0" fontId="69" fillId="2" borderId="0"/>
    <xf numFmtId="0" fontId="17" fillId="2" borderId="0"/>
    <xf numFmtId="0" fontId="17" fillId="2" borderId="0"/>
    <xf numFmtId="0" fontId="69" fillId="2" borderId="0"/>
    <xf numFmtId="0" fontId="69" fillId="2" borderId="0"/>
    <xf numFmtId="0" fontId="17" fillId="2" borderId="0"/>
    <xf numFmtId="0" fontId="17" fillId="2" borderId="0"/>
    <xf numFmtId="0" fontId="69" fillId="2" borderId="0"/>
    <xf numFmtId="0" fontId="17" fillId="2" borderId="0"/>
    <xf numFmtId="0" fontId="17" fillId="2" borderId="0"/>
    <xf numFmtId="0" fontId="69" fillId="2" borderId="0"/>
    <xf numFmtId="0" fontId="69" fillId="2" borderId="0"/>
    <xf numFmtId="0" fontId="69" fillId="2" borderId="0"/>
    <xf numFmtId="0" fontId="69" fillId="2" borderId="0"/>
    <xf numFmtId="0" fontId="69"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69" fillId="2" borderId="0"/>
    <xf numFmtId="0" fontId="69" fillId="2" borderId="0"/>
    <xf numFmtId="0" fontId="69" fillId="2" borderId="0"/>
    <xf numFmtId="0" fontId="69" fillId="2" borderId="0"/>
    <xf numFmtId="0" fontId="69" fillId="3" borderId="0"/>
    <xf numFmtId="0" fontId="69" fillId="2" borderId="0"/>
    <xf numFmtId="0" fontId="17" fillId="2" borderId="0"/>
    <xf numFmtId="0" fontId="17" fillId="2" borderId="0"/>
    <xf numFmtId="0" fontId="17" fillId="2" borderId="0"/>
    <xf numFmtId="0" fontId="17" fillId="2" borderId="0"/>
    <xf numFmtId="0" fontId="69" fillId="2" borderId="0"/>
    <xf numFmtId="0" fontId="69" fillId="2" borderId="0"/>
    <xf numFmtId="0" fontId="69" fillId="2" borderId="0"/>
    <xf numFmtId="0" fontId="69" fillId="2" borderId="0"/>
    <xf numFmtId="0" fontId="17" fillId="2" borderId="0"/>
    <xf numFmtId="0" fontId="17" fillId="2" borderId="0"/>
    <xf numFmtId="0" fontId="17" fillId="2" borderId="0"/>
    <xf numFmtId="0" fontId="17" fillId="2" borderId="0"/>
    <xf numFmtId="0" fontId="69" fillId="2" borderId="0"/>
    <xf numFmtId="0" fontId="69" fillId="2" borderId="0"/>
    <xf numFmtId="0" fontId="69" fillId="2" borderId="0"/>
    <xf numFmtId="0" fontId="69" fillId="2" borderId="0"/>
    <xf numFmtId="0" fontId="69" fillId="2" borderId="0"/>
    <xf numFmtId="0" fontId="17" fillId="2" borderId="0"/>
    <xf numFmtId="0" fontId="17" fillId="2" borderId="0"/>
    <xf numFmtId="0" fontId="17" fillId="2" borderId="0"/>
    <xf numFmtId="0" fontId="17" fillId="2" borderId="0"/>
    <xf numFmtId="0" fontId="17" fillId="2" borderId="0"/>
    <xf numFmtId="0" fontId="17" fillId="2" borderId="0"/>
    <xf numFmtId="0" fontId="69"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69" fillId="2" borderId="0"/>
    <xf numFmtId="0" fontId="17" fillId="2" borderId="0"/>
    <xf numFmtId="0" fontId="17" fillId="2" borderId="0"/>
    <xf numFmtId="0" fontId="17" fillId="2" borderId="0"/>
    <xf numFmtId="0" fontId="17" fillId="2" borderId="0"/>
    <xf numFmtId="0" fontId="69"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69" fillId="2" borderId="0"/>
    <xf numFmtId="0" fontId="17" fillId="2" borderId="0"/>
    <xf numFmtId="0" fontId="17" fillId="2" borderId="0"/>
    <xf numFmtId="0" fontId="69" fillId="3"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69" fillId="2" borderId="0"/>
    <xf numFmtId="0" fontId="69" fillId="2" borderId="0"/>
    <xf numFmtId="0" fontId="69" fillId="2" borderId="0"/>
    <xf numFmtId="0" fontId="17" fillId="2" borderId="0"/>
    <xf numFmtId="0" fontId="17" fillId="2" borderId="0"/>
    <xf numFmtId="0" fontId="69" fillId="2" borderId="0"/>
    <xf numFmtId="0" fontId="69"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69" fillId="3" borderId="0"/>
    <xf numFmtId="0" fontId="69" fillId="2" borderId="0"/>
    <xf numFmtId="0" fontId="17" fillId="2" borderId="0"/>
    <xf numFmtId="0" fontId="17" fillId="2" borderId="0"/>
    <xf numFmtId="0" fontId="69" fillId="3" borderId="0"/>
    <xf numFmtId="0" fontId="17" fillId="2" borderId="0"/>
    <xf numFmtId="0" fontId="17" fillId="2" borderId="0"/>
    <xf numFmtId="0" fontId="17" fillId="2" borderId="0"/>
    <xf numFmtId="0" fontId="17" fillId="2" borderId="0"/>
    <xf numFmtId="0" fontId="17" fillId="2" borderId="0"/>
    <xf numFmtId="0" fontId="17" fillId="2" borderId="0"/>
    <xf numFmtId="0" fontId="6" fillId="0" borderId="1" applyNumberFormat="0" applyFill="0"/>
    <xf numFmtId="0" fontId="69" fillId="2" borderId="0"/>
    <xf numFmtId="0" fontId="69" fillId="2" borderId="0"/>
    <xf numFmtId="0" fontId="69"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69" fillId="2" borderId="0"/>
    <xf numFmtId="0" fontId="69" fillId="2" borderId="0"/>
    <xf numFmtId="0" fontId="69" fillId="2" borderId="0"/>
    <xf numFmtId="0" fontId="17" fillId="2" borderId="0"/>
    <xf numFmtId="0" fontId="17" fillId="2" borderId="0"/>
    <xf numFmtId="0" fontId="69" fillId="2" borderId="0"/>
    <xf numFmtId="0" fontId="69" fillId="2" borderId="0"/>
    <xf numFmtId="0" fontId="69" fillId="2" borderId="0"/>
    <xf numFmtId="0" fontId="17" fillId="2" borderId="0"/>
    <xf numFmtId="0" fontId="17" fillId="2" borderId="0"/>
    <xf numFmtId="0" fontId="17" fillId="2" borderId="0"/>
    <xf numFmtId="0" fontId="69" fillId="2" borderId="0"/>
    <xf numFmtId="0" fontId="17" fillId="2" borderId="0"/>
    <xf numFmtId="0" fontId="69" fillId="2" borderId="0"/>
    <xf numFmtId="0" fontId="17" fillId="2" borderId="0"/>
    <xf numFmtId="0" fontId="17" fillId="2" borderId="0"/>
    <xf numFmtId="0" fontId="69" fillId="2" borderId="0"/>
    <xf numFmtId="0" fontId="69" fillId="2" borderId="0"/>
    <xf numFmtId="0" fontId="17" fillId="2" borderId="0"/>
    <xf numFmtId="0" fontId="17" fillId="2" borderId="0"/>
    <xf numFmtId="0" fontId="69" fillId="2" borderId="0"/>
    <xf numFmtId="0" fontId="69" fillId="2" borderId="0"/>
    <xf numFmtId="0" fontId="17" fillId="2" borderId="0"/>
    <xf numFmtId="0" fontId="17" fillId="2" borderId="0"/>
    <xf numFmtId="0" fontId="69" fillId="2" borderId="0"/>
    <xf numFmtId="0" fontId="17" fillId="2" borderId="0"/>
    <xf numFmtId="0" fontId="17" fillId="2" borderId="0"/>
    <xf numFmtId="0" fontId="69" fillId="2" borderId="0"/>
    <xf numFmtId="0" fontId="69" fillId="2" borderId="0"/>
    <xf numFmtId="0" fontId="69" fillId="2" borderId="0"/>
    <xf numFmtId="0" fontId="69"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69" fillId="2" borderId="0"/>
    <xf numFmtId="0" fontId="17" fillId="2" borderId="0"/>
    <xf numFmtId="0" fontId="17" fillId="2" borderId="0"/>
    <xf numFmtId="0" fontId="62" fillId="0" borderId="2" applyNumberFormat="0" applyFont="0" applyBorder="0" applyAlignment="0">
      <alignment horizontal="center"/>
    </xf>
    <xf numFmtId="0" fontId="62" fillId="0" borderId="2" applyNumberFormat="0" applyFont="0" applyBorder="0" applyAlignment="0">
      <alignment horizontal="center"/>
    </xf>
    <xf numFmtId="0" fontId="24" fillId="0" borderId="0"/>
    <xf numFmtId="0" fontId="70" fillId="5"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7"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0" fontId="70" fillId="9"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11"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5"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4" borderId="0" applyNumberFormat="0" applyBorder="0" applyAlignment="0" applyProtection="0"/>
    <xf numFmtId="0" fontId="70" fillId="6" borderId="0" applyNumberFormat="0" applyBorder="0" applyAlignment="0" applyProtection="0"/>
    <xf numFmtId="0" fontId="70" fillId="8" borderId="0" applyNumberFormat="0" applyBorder="0" applyAlignment="0" applyProtection="0"/>
    <xf numFmtId="0" fontId="70" fillId="10" borderId="0" applyNumberFormat="0" applyBorder="0" applyAlignment="0" applyProtection="0"/>
    <xf numFmtId="0" fontId="70" fillId="12" borderId="0" applyNumberFormat="0" applyBorder="0" applyAlignment="0" applyProtection="0"/>
    <xf numFmtId="0" fontId="70" fillId="14" borderId="0" applyNumberFormat="0" applyBorder="0" applyAlignment="0" applyProtection="0"/>
    <xf numFmtId="0" fontId="15" fillId="0" borderId="0"/>
    <xf numFmtId="0" fontId="71" fillId="2" borderId="0"/>
    <xf numFmtId="0" fontId="71" fillId="2" borderId="0"/>
    <xf numFmtId="0" fontId="17" fillId="2" borderId="0"/>
    <xf numFmtId="0" fontId="17" fillId="2" borderId="0"/>
    <xf numFmtId="0" fontId="71" fillId="2" borderId="0"/>
    <xf numFmtId="0" fontId="71"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71" fillId="3" borderId="0"/>
    <xf numFmtId="0" fontId="17" fillId="2" borderId="0"/>
    <xf numFmtId="0" fontId="17" fillId="2" borderId="0"/>
    <xf numFmtId="0" fontId="17" fillId="2" borderId="0"/>
    <xf numFmtId="0" fontId="71" fillId="2" borderId="0"/>
    <xf numFmtId="0" fontId="71" fillId="2" borderId="0"/>
    <xf numFmtId="0" fontId="17" fillId="2" borderId="0"/>
    <xf numFmtId="0" fontId="17" fillId="2" borderId="0"/>
    <xf numFmtId="0" fontId="71" fillId="2" borderId="0"/>
    <xf numFmtId="0" fontId="71" fillId="2" borderId="0"/>
    <xf numFmtId="0" fontId="17" fillId="2" borderId="0"/>
    <xf numFmtId="0" fontId="17" fillId="2" borderId="0"/>
    <xf numFmtId="0" fontId="71" fillId="2" borderId="0"/>
    <xf numFmtId="0" fontId="17" fillId="2" borderId="0"/>
    <xf numFmtId="0" fontId="17" fillId="2" borderId="0"/>
    <xf numFmtId="0" fontId="71" fillId="2" borderId="0"/>
    <xf numFmtId="0" fontId="71" fillId="2" borderId="0"/>
    <xf numFmtId="0" fontId="71" fillId="2" borderId="0"/>
    <xf numFmtId="0" fontId="17" fillId="2" borderId="0"/>
    <xf numFmtId="0" fontId="17" fillId="2" borderId="0"/>
    <xf numFmtId="0" fontId="71" fillId="2" borderId="0"/>
    <xf numFmtId="0" fontId="71" fillId="2" borderId="0"/>
    <xf numFmtId="0" fontId="17" fillId="2" borderId="0"/>
    <xf numFmtId="0" fontId="17" fillId="2" borderId="0"/>
    <xf numFmtId="0" fontId="71" fillId="2" borderId="0"/>
    <xf numFmtId="0" fontId="17" fillId="2" borderId="0"/>
    <xf numFmtId="0" fontId="17" fillId="2" borderId="0"/>
    <xf numFmtId="0" fontId="71" fillId="2" borderId="0"/>
    <xf numFmtId="0" fontId="71" fillId="2" borderId="0"/>
    <xf numFmtId="0" fontId="71" fillId="2" borderId="0"/>
    <xf numFmtId="0" fontId="71" fillId="2" borderId="0"/>
    <xf numFmtId="0" fontId="71"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71" fillId="2" borderId="0"/>
    <xf numFmtId="0" fontId="71" fillId="2" borderId="0"/>
    <xf numFmtId="0" fontId="71" fillId="2" borderId="0"/>
    <xf numFmtId="0" fontId="71" fillId="2" borderId="0"/>
    <xf numFmtId="0" fontId="71" fillId="3" borderId="0"/>
    <xf numFmtId="0" fontId="71" fillId="2" borderId="0"/>
    <xf numFmtId="0" fontId="17" fillId="2" borderId="0"/>
    <xf numFmtId="0" fontId="17" fillId="2" borderId="0"/>
    <xf numFmtId="0" fontId="17" fillId="2" borderId="0"/>
    <xf numFmtId="0" fontId="17" fillId="2" borderId="0"/>
    <xf numFmtId="0" fontId="71" fillId="2" borderId="0"/>
    <xf numFmtId="0" fontId="71" fillId="2" borderId="0"/>
    <xf numFmtId="0" fontId="71" fillId="2" borderId="0"/>
    <xf numFmtId="0" fontId="71" fillId="2" borderId="0"/>
    <xf numFmtId="0" fontId="17" fillId="2" borderId="0"/>
    <xf numFmtId="0" fontId="17" fillId="2" borderId="0"/>
    <xf numFmtId="0" fontId="17" fillId="2" borderId="0"/>
    <xf numFmtId="0" fontId="17" fillId="2" borderId="0"/>
    <xf numFmtId="0" fontId="71" fillId="2" borderId="0"/>
    <xf numFmtId="0" fontId="71" fillId="2" borderId="0"/>
    <xf numFmtId="0" fontId="71" fillId="2" borderId="0"/>
    <xf numFmtId="0" fontId="71" fillId="2" borderId="0"/>
    <xf numFmtId="0" fontId="71" fillId="2" borderId="0"/>
    <xf numFmtId="0" fontId="17" fillId="2" borderId="0"/>
    <xf numFmtId="0" fontId="17" fillId="2" borderId="0"/>
    <xf numFmtId="0" fontId="17" fillId="2" borderId="0"/>
    <xf numFmtId="0" fontId="17" fillId="2" borderId="0"/>
    <xf numFmtId="0" fontId="17" fillId="2" borderId="0"/>
    <xf numFmtId="0" fontId="17" fillId="2" borderId="0"/>
    <xf numFmtId="0" fontId="71"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71" fillId="2" borderId="0"/>
    <xf numFmtId="0" fontId="17" fillId="2" borderId="0"/>
    <xf numFmtId="0" fontId="17" fillId="2" borderId="0"/>
    <xf numFmtId="0" fontId="17" fillId="2" borderId="0"/>
    <xf numFmtId="0" fontId="17" fillId="2" borderId="0"/>
    <xf numFmtId="0" fontId="71"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71" fillId="2" borderId="0"/>
    <xf numFmtId="0" fontId="17" fillId="2" borderId="0"/>
    <xf numFmtId="0" fontId="17" fillId="2" borderId="0"/>
    <xf numFmtId="0" fontId="71" fillId="3"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71" fillId="2" borderId="0"/>
    <xf numFmtId="0" fontId="71" fillId="2" borderId="0"/>
    <xf numFmtId="0" fontId="71" fillId="2" borderId="0"/>
    <xf numFmtId="0" fontId="17" fillId="2" borderId="0"/>
    <xf numFmtId="0" fontId="17" fillId="2" borderId="0"/>
    <xf numFmtId="0" fontId="71" fillId="2" borderId="0"/>
    <xf numFmtId="0" fontId="71"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71" fillId="3" borderId="0"/>
    <xf numFmtId="0" fontId="71" fillId="2" borderId="0"/>
    <xf numFmtId="0" fontId="17" fillId="2" borderId="0"/>
    <xf numFmtId="0" fontId="17" fillId="2" borderId="0"/>
    <xf numFmtId="0" fontId="71" fillId="3" borderId="0"/>
    <xf numFmtId="0" fontId="17" fillId="2" borderId="0"/>
    <xf numFmtId="0" fontId="17" fillId="2" borderId="0"/>
    <xf numFmtId="0" fontId="17" fillId="2" borderId="0"/>
    <xf numFmtId="0" fontId="17" fillId="2" borderId="0"/>
    <xf numFmtId="0" fontId="17" fillId="2" borderId="0"/>
    <xf numFmtId="0" fontId="17" fillId="2" borderId="0"/>
    <xf numFmtId="0" fontId="71" fillId="2" borderId="0"/>
    <xf numFmtId="0" fontId="71" fillId="2" borderId="0"/>
    <xf numFmtId="0" fontId="71"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71" fillId="2" borderId="0"/>
    <xf numFmtId="0" fontId="71" fillId="2" borderId="0"/>
    <xf numFmtId="0" fontId="71" fillId="2" borderId="0"/>
    <xf numFmtId="0" fontId="17" fillId="2" borderId="0"/>
    <xf numFmtId="0" fontId="17" fillId="2" borderId="0"/>
    <xf numFmtId="0" fontId="71" fillId="2" borderId="0"/>
    <xf numFmtId="0" fontId="71" fillId="2" borderId="0"/>
    <xf numFmtId="0" fontId="71" fillId="2" borderId="0"/>
    <xf numFmtId="0" fontId="17" fillId="2" borderId="0"/>
    <xf numFmtId="0" fontId="17" fillId="2" borderId="0"/>
    <xf numFmtId="0" fontId="17" fillId="2" borderId="0"/>
    <xf numFmtId="0" fontId="71" fillId="2" borderId="0"/>
    <xf numFmtId="0" fontId="17" fillId="2" borderId="0"/>
    <xf numFmtId="0" fontId="71" fillId="2" borderId="0"/>
    <xf numFmtId="0" fontId="17" fillId="2" borderId="0"/>
    <xf numFmtId="0" fontId="17" fillId="2" borderId="0"/>
    <xf numFmtId="0" fontId="71" fillId="2" borderId="0"/>
    <xf numFmtId="0" fontId="71" fillId="2" borderId="0"/>
    <xf numFmtId="0" fontId="17" fillId="2" borderId="0"/>
    <xf numFmtId="0" fontId="17" fillId="2" borderId="0"/>
    <xf numFmtId="0" fontId="71" fillId="2" borderId="0"/>
    <xf numFmtId="0" fontId="71" fillId="2" borderId="0"/>
    <xf numFmtId="0" fontId="17" fillId="2" borderId="0"/>
    <xf numFmtId="0" fontId="17" fillId="2" borderId="0"/>
    <xf numFmtId="0" fontId="71" fillId="2" borderId="0"/>
    <xf numFmtId="0" fontId="17" fillId="2" borderId="0"/>
    <xf numFmtId="0" fontId="17" fillId="2" borderId="0"/>
    <xf numFmtId="0" fontId="71" fillId="2" borderId="0"/>
    <xf numFmtId="0" fontId="71" fillId="2" borderId="0"/>
    <xf numFmtId="0" fontId="71"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71" fillId="2" borderId="0"/>
    <xf numFmtId="0" fontId="17" fillId="2" borderId="0"/>
    <xf numFmtId="0" fontId="17" fillId="2" borderId="0"/>
    <xf numFmtId="0" fontId="53" fillId="0" borderId="0" applyFont="0" applyFill="0" applyBorder="0" applyAlignment="0" applyProtection="0"/>
    <xf numFmtId="0" fontId="53" fillId="0" borderId="0" applyFont="0" applyFill="0" applyBorder="0" applyAlignment="0" applyProtection="0"/>
    <xf numFmtId="0" fontId="72" fillId="0" borderId="0">
      <alignment wrapText="1"/>
    </xf>
    <xf numFmtId="0" fontId="72" fillId="0" borderId="0">
      <alignment wrapText="1"/>
    </xf>
    <xf numFmtId="0" fontId="17" fillId="0" borderId="0">
      <alignment wrapText="1"/>
    </xf>
    <xf numFmtId="0" fontId="17" fillId="0" borderId="0">
      <alignment wrapText="1"/>
    </xf>
    <xf numFmtId="0" fontId="72" fillId="0" borderId="0">
      <alignment wrapText="1"/>
    </xf>
    <xf numFmtId="0" fontId="72"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72" fillId="0" borderId="0">
      <alignment wrapText="1"/>
    </xf>
    <xf numFmtId="0" fontId="72" fillId="0" borderId="0">
      <alignment wrapText="1"/>
    </xf>
    <xf numFmtId="0" fontId="17" fillId="0" borderId="0">
      <alignment wrapText="1"/>
    </xf>
    <xf numFmtId="0" fontId="17" fillId="0" borderId="0">
      <alignment wrapText="1"/>
    </xf>
    <xf numFmtId="0" fontId="72" fillId="0" borderId="0">
      <alignment wrapText="1"/>
    </xf>
    <xf numFmtId="0" fontId="72" fillId="0" borderId="0">
      <alignment wrapText="1"/>
    </xf>
    <xf numFmtId="0" fontId="17" fillId="0" borderId="0">
      <alignment wrapText="1"/>
    </xf>
    <xf numFmtId="0" fontId="17" fillId="0" borderId="0">
      <alignment wrapText="1"/>
    </xf>
    <xf numFmtId="0" fontId="72" fillId="0" borderId="0">
      <alignment wrapText="1"/>
    </xf>
    <xf numFmtId="0" fontId="17" fillId="0" borderId="0">
      <alignment wrapText="1"/>
    </xf>
    <xf numFmtId="0" fontId="17" fillId="0" borderId="0">
      <alignment wrapText="1"/>
    </xf>
    <xf numFmtId="0" fontId="72" fillId="0" borderId="0">
      <alignment wrapText="1"/>
    </xf>
    <xf numFmtId="0" fontId="72" fillId="0" borderId="0">
      <alignment wrapText="1"/>
    </xf>
    <xf numFmtId="0" fontId="72" fillId="0" borderId="0">
      <alignment wrapText="1"/>
    </xf>
    <xf numFmtId="0" fontId="17" fillId="0" borderId="0">
      <alignment wrapText="1"/>
    </xf>
    <xf numFmtId="0" fontId="17" fillId="0" borderId="0">
      <alignment wrapText="1"/>
    </xf>
    <xf numFmtId="0" fontId="72"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72"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72"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72"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72"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72" fillId="0" borderId="0">
      <alignment wrapText="1"/>
    </xf>
    <xf numFmtId="0" fontId="72" fillId="0" borderId="0">
      <alignment wrapText="1"/>
    </xf>
    <xf numFmtId="0" fontId="72" fillId="0" borderId="0">
      <alignment wrapText="1"/>
    </xf>
    <xf numFmtId="0" fontId="17" fillId="0" borderId="0">
      <alignment wrapText="1"/>
    </xf>
    <xf numFmtId="0" fontId="17" fillId="0" borderId="0">
      <alignment wrapText="1"/>
    </xf>
    <xf numFmtId="0" fontId="72" fillId="0" borderId="0">
      <alignment wrapText="1"/>
    </xf>
    <xf numFmtId="0" fontId="72"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72"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72" fillId="0" borderId="0">
      <alignment wrapText="1"/>
    </xf>
    <xf numFmtId="0" fontId="72" fillId="0" borderId="0">
      <alignment wrapText="1"/>
    </xf>
    <xf numFmtId="0" fontId="72"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72" fillId="0" borderId="0">
      <alignment wrapText="1"/>
    </xf>
    <xf numFmtId="0" fontId="72" fillId="0" borderId="0">
      <alignment wrapText="1"/>
    </xf>
    <xf numFmtId="0" fontId="72" fillId="0" borderId="0">
      <alignment wrapText="1"/>
    </xf>
    <xf numFmtId="0" fontId="17" fillId="0" borderId="0">
      <alignment wrapText="1"/>
    </xf>
    <xf numFmtId="0" fontId="17" fillId="0" borderId="0">
      <alignment wrapText="1"/>
    </xf>
    <xf numFmtId="0" fontId="72" fillId="0" borderId="0">
      <alignment wrapText="1"/>
    </xf>
    <xf numFmtId="0" fontId="72" fillId="0" borderId="0">
      <alignment wrapText="1"/>
    </xf>
    <xf numFmtId="0" fontId="72" fillId="0" borderId="0">
      <alignment wrapText="1"/>
    </xf>
    <xf numFmtId="0" fontId="17" fillId="0" borderId="0">
      <alignment wrapText="1"/>
    </xf>
    <xf numFmtId="0" fontId="17" fillId="0" borderId="0">
      <alignment wrapText="1"/>
    </xf>
    <xf numFmtId="0" fontId="17" fillId="0" borderId="0">
      <alignment wrapText="1"/>
    </xf>
    <xf numFmtId="0" fontId="72" fillId="0" borderId="0">
      <alignment wrapText="1"/>
    </xf>
    <xf numFmtId="0" fontId="17" fillId="0" borderId="0">
      <alignment wrapText="1"/>
    </xf>
    <xf numFmtId="0" fontId="72" fillId="0" borderId="0">
      <alignment wrapText="1"/>
    </xf>
    <xf numFmtId="0" fontId="17" fillId="0" borderId="0">
      <alignment wrapText="1"/>
    </xf>
    <xf numFmtId="0" fontId="17" fillId="0" borderId="0">
      <alignment wrapText="1"/>
    </xf>
    <xf numFmtId="0" fontId="72" fillId="0" borderId="0">
      <alignment wrapText="1"/>
    </xf>
    <xf numFmtId="0" fontId="72" fillId="0" borderId="0">
      <alignment wrapText="1"/>
    </xf>
    <xf numFmtId="0" fontId="17" fillId="0" borderId="0">
      <alignment wrapText="1"/>
    </xf>
    <xf numFmtId="0" fontId="17" fillId="0" borderId="0">
      <alignment wrapText="1"/>
    </xf>
    <xf numFmtId="0" fontId="72" fillId="0" borderId="0">
      <alignment wrapText="1"/>
    </xf>
    <xf numFmtId="0" fontId="17" fillId="0" borderId="0">
      <alignment wrapText="1"/>
    </xf>
    <xf numFmtId="0" fontId="17" fillId="0" borderId="0">
      <alignment wrapText="1"/>
    </xf>
    <xf numFmtId="0" fontId="72" fillId="0" borderId="0">
      <alignment wrapText="1"/>
    </xf>
    <xf numFmtId="0" fontId="17" fillId="0" borderId="0">
      <alignment wrapText="1"/>
    </xf>
    <xf numFmtId="0" fontId="17" fillId="0" borderId="0">
      <alignment wrapText="1"/>
    </xf>
    <xf numFmtId="0" fontId="72" fillId="0" borderId="0">
      <alignment wrapText="1"/>
    </xf>
    <xf numFmtId="0" fontId="72" fillId="0" borderId="0">
      <alignment wrapText="1"/>
    </xf>
    <xf numFmtId="0" fontId="72"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alignment wrapText="1"/>
    </xf>
    <xf numFmtId="0" fontId="72" fillId="0" borderId="0">
      <alignment wrapText="1"/>
    </xf>
    <xf numFmtId="0" fontId="17" fillId="0" borderId="0">
      <alignment wrapText="1"/>
    </xf>
    <xf numFmtId="0" fontId="17" fillId="0" borderId="0">
      <alignment wrapText="1"/>
    </xf>
    <xf numFmtId="0" fontId="70" fillId="17"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9"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11"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7"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2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16" borderId="0" applyNumberFormat="0" applyBorder="0" applyAlignment="0" applyProtection="0"/>
    <xf numFmtId="0" fontId="70" fillId="18" borderId="0" applyNumberFormat="0" applyBorder="0" applyAlignment="0" applyProtection="0"/>
    <xf numFmtId="0" fontId="70" fillId="20" borderId="0" applyNumberFormat="0" applyBorder="0" applyAlignment="0" applyProtection="0"/>
    <xf numFmtId="0" fontId="70" fillId="10" borderId="0" applyNumberFormat="0" applyBorder="0" applyAlignment="0" applyProtection="0"/>
    <xf numFmtId="0" fontId="70" fillId="16" borderId="0" applyNumberFormat="0" applyBorder="0" applyAlignment="0" applyProtection="0"/>
    <xf numFmtId="0" fontId="70" fillId="22" borderId="0" applyNumberFormat="0" applyBorder="0" applyAlignment="0" applyProtection="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3" fillId="25" borderId="0" applyNumberFormat="0" applyBorder="0" applyAlignment="0" applyProtection="0"/>
    <xf numFmtId="0" fontId="73" fillId="24" borderId="0" applyNumberFormat="0" applyBorder="0" applyAlignment="0" applyProtection="0"/>
    <xf numFmtId="0" fontId="73" fillId="24" borderId="0" applyNumberFormat="0" applyBorder="0" applyAlignment="0" applyProtection="0"/>
    <xf numFmtId="0" fontId="73" fillId="24" borderId="0" applyNumberFormat="0" applyBorder="0" applyAlignment="0" applyProtection="0"/>
    <xf numFmtId="0" fontId="73" fillId="19"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21"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7"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9"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31"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24" borderId="0" applyNumberFormat="0" applyBorder="0" applyAlignment="0" applyProtection="0"/>
    <xf numFmtId="0" fontId="73" fillId="18" borderId="0" applyNumberFormat="0" applyBorder="0" applyAlignment="0" applyProtection="0"/>
    <xf numFmtId="0" fontId="73" fillId="20" borderId="0" applyNumberFormat="0" applyBorder="0" applyAlignment="0" applyProtection="0"/>
    <xf numFmtId="0" fontId="73" fillId="26" borderId="0" applyNumberFormat="0" applyBorder="0" applyAlignment="0" applyProtection="0"/>
    <xf numFmtId="0" fontId="73" fillId="28" borderId="0" applyNumberFormat="0" applyBorder="0" applyAlignment="0" applyProtection="0"/>
    <xf numFmtId="0" fontId="73" fillId="30" borderId="0" applyNumberFormat="0" applyBorder="0" applyAlignment="0" applyProtection="0"/>
    <xf numFmtId="0" fontId="74" fillId="0" borderId="0"/>
    <xf numFmtId="0" fontId="74" fillId="0" borderId="0"/>
    <xf numFmtId="0" fontId="47" fillId="0" borderId="0"/>
    <xf numFmtId="0" fontId="75" fillId="0" borderId="0" applyFont="0" applyFill="0" applyBorder="0" applyAlignment="0" applyProtection="0"/>
    <xf numFmtId="0" fontId="75" fillId="0" borderId="0" applyFont="0" applyFill="0" applyBorder="0" applyAlignment="0" applyProtection="0"/>
    <xf numFmtId="0" fontId="47" fillId="0" borderId="0"/>
    <xf numFmtId="0" fontId="39" fillId="0" borderId="0" applyFont="0" applyFill="0" applyBorder="0" applyAlignment="0" applyProtection="0"/>
    <xf numFmtId="0" fontId="40" fillId="0" borderId="0" applyFont="0" applyFill="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7" fillId="34" borderId="0" applyNumberFormat="0" applyBorder="0" applyAlignment="0" applyProtection="0"/>
    <xf numFmtId="0" fontId="73" fillId="35"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6" fillId="37" borderId="0" applyNumberFormat="0" applyBorder="0" applyAlignment="0" applyProtection="0"/>
    <xf numFmtId="0" fontId="76" fillId="38" borderId="0" applyNumberFormat="0" applyBorder="0" applyAlignment="0" applyProtection="0"/>
    <xf numFmtId="0" fontId="77" fillId="39" borderId="0" applyNumberFormat="0" applyBorder="0" applyAlignment="0" applyProtection="0"/>
    <xf numFmtId="0" fontId="73" fillId="40"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6" fillId="37" borderId="0" applyNumberFormat="0" applyBorder="0" applyAlignment="0" applyProtection="0"/>
    <xf numFmtId="0" fontId="76" fillId="42" borderId="0" applyNumberFormat="0" applyBorder="0" applyAlignment="0" applyProtection="0"/>
    <xf numFmtId="0" fontId="77" fillId="38" borderId="0" applyNumberFormat="0" applyBorder="0" applyAlignment="0" applyProtection="0"/>
    <xf numFmtId="0" fontId="73" fillId="43"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6" fillId="33" borderId="0" applyNumberFormat="0" applyBorder="0" applyAlignment="0" applyProtection="0"/>
    <xf numFmtId="0" fontId="76" fillId="38" borderId="0" applyNumberFormat="0" applyBorder="0" applyAlignment="0" applyProtection="0"/>
    <xf numFmtId="0" fontId="77" fillId="38" borderId="0" applyNumberFormat="0" applyBorder="0" applyAlignment="0" applyProtection="0"/>
    <xf numFmtId="0" fontId="73" fillId="27"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6" fillId="44" borderId="0" applyNumberFormat="0" applyBorder="0" applyAlignment="0" applyProtection="0"/>
    <xf numFmtId="0" fontId="76" fillId="33" borderId="0" applyNumberFormat="0" applyBorder="0" applyAlignment="0" applyProtection="0"/>
    <xf numFmtId="0" fontId="77" fillId="34" borderId="0" applyNumberFormat="0" applyBorder="0" applyAlignment="0" applyProtection="0"/>
    <xf numFmtId="0" fontId="73" fillId="29"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6" fillId="37" borderId="0" applyNumberFormat="0" applyBorder="0" applyAlignment="0" applyProtection="0"/>
    <xf numFmtId="0" fontId="76" fillId="46" borderId="0" applyNumberFormat="0" applyBorder="0" applyAlignment="0" applyProtection="0"/>
    <xf numFmtId="0" fontId="77" fillId="46" borderId="0" applyNumberFormat="0" applyBorder="0" applyAlignment="0" applyProtection="0"/>
    <xf numFmtId="0" fontId="73" fillId="47"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230" fontId="23" fillId="0" borderId="0" applyFont="0" applyFill="0" applyBorder="0" applyAlignment="0" applyProtection="0"/>
    <xf numFmtId="0" fontId="75" fillId="0" borderId="0" applyFont="0" applyFill="0" applyBorder="0" applyAlignment="0" applyProtection="0"/>
    <xf numFmtId="0" fontId="78" fillId="0" borderId="0" applyFont="0" applyFill="0" applyBorder="0" applyAlignment="0" applyProtection="0"/>
    <xf numFmtId="188" fontId="23" fillId="0" borderId="0" applyFont="0" applyFill="0" applyBorder="0" applyAlignment="0" applyProtection="0"/>
    <xf numFmtId="0" fontId="75" fillId="0" borderId="0" applyFont="0" applyFill="0" applyBorder="0" applyAlignment="0" applyProtection="0"/>
    <xf numFmtId="231" fontId="78" fillId="0" borderId="0" applyFont="0" applyFill="0" applyBorder="0" applyAlignment="0" applyProtection="0"/>
    <xf numFmtId="0" fontId="79" fillId="0" borderId="6" applyFont="0" applyFill="0" applyBorder="0" applyAlignment="0" applyProtection="0">
      <alignment horizontal="center" vertical="center"/>
    </xf>
    <xf numFmtId="0" fontId="80" fillId="0" borderId="0">
      <alignment horizontal="center" wrapText="1"/>
      <protection locked="0"/>
    </xf>
    <xf numFmtId="188" fontId="78" fillId="0" borderId="0" applyFont="0" applyFill="0" applyBorder="0" applyAlignment="0" applyProtection="0"/>
    <xf numFmtId="0" fontId="75" fillId="0" borderId="0" applyFont="0" applyFill="0" applyBorder="0" applyAlignment="0" applyProtection="0"/>
    <xf numFmtId="188" fontId="78" fillId="0" borderId="0" applyFont="0" applyFill="0" applyBorder="0" applyAlignment="0" applyProtection="0"/>
    <xf numFmtId="187" fontId="78" fillId="0" borderId="0" applyFont="0" applyFill="0" applyBorder="0" applyAlignment="0" applyProtection="0"/>
    <xf numFmtId="0" fontId="75" fillId="0" borderId="0" applyFont="0" applyFill="0" applyBorder="0" applyAlignment="0" applyProtection="0"/>
    <xf numFmtId="187" fontId="78" fillId="0" borderId="0" applyFont="0" applyFill="0" applyBorder="0" applyAlignment="0" applyProtection="0"/>
    <xf numFmtId="181" fontId="23" fillId="0" borderId="0" applyFont="0" applyFill="0" applyBorder="0" applyAlignment="0" applyProtection="0"/>
    <xf numFmtId="3" fontId="81" fillId="0" borderId="0" applyNumberFormat="0" applyAlignment="0"/>
    <xf numFmtId="3" fontId="81" fillId="0" borderId="0" applyNumberFormat="0" applyBorder="0" applyAlignment="0"/>
    <xf numFmtId="3" fontId="81" fillId="0" borderId="0" applyNumberFormat="0" applyAlignment="0"/>
    <xf numFmtId="0" fontId="82" fillId="7" borderId="0" applyNumberFormat="0" applyBorder="0" applyAlignment="0" applyProtection="0"/>
    <xf numFmtId="0" fontId="82" fillId="6" borderId="0" applyNumberFormat="0" applyBorder="0" applyAlignment="0" applyProtection="0"/>
    <xf numFmtId="0" fontId="82" fillId="6" borderId="0" applyNumberFormat="0" applyBorder="0" applyAlignment="0" applyProtection="0"/>
    <xf numFmtId="0" fontId="82" fillId="6" borderId="0" applyNumberFormat="0" applyBorder="0" applyAlignment="0" applyProtection="0"/>
    <xf numFmtId="0" fontId="83" fillId="0" borderId="0"/>
    <xf numFmtId="0" fontId="84" fillId="0" borderId="0"/>
    <xf numFmtId="0" fontId="84" fillId="0" borderId="0"/>
    <xf numFmtId="0" fontId="85" fillId="0" borderId="0" applyNumberFormat="0" applyFill="0" applyBorder="0" applyAlignment="0" applyProtection="0"/>
    <xf numFmtId="0" fontId="10" fillId="0" borderId="0">
      <alignment horizontal="center"/>
    </xf>
    <xf numFmtId="9" fontId="15" fillId="0" borderId="0" applyFont="0" applyFill="0" applyBorder="0" applyAlignment="0" applyProtection="0"/>
    <xf numFmtId="0" fontId="75" fillId="0" borderId="0"/>
    <xf numFmtId="0" fontId="86" fillId="0" borderId="0"/>
    <xf numFmtId="0" fontId="49" fillId="0" borderId="0"/>
    <xf numFmtId="0" fontId="87" fillId="0" borderId="0"/>
    <xf numFmtId="0" fontId="75" fillId="0" borderId="0"/>
    <xf numFmtId="0" fontId="88" fillId="0" borderId="0"/>
    <xf numFmtId="0" fontId="89" fillId="0" borderId="0"/>
    <xf numFmtId="0" fontId="15" fillId="0" borderId="0" applyFill="0" applyBorder="0" applyAlignment="0"/>
    <xf numFmtId="232" fontId="90" fillId="0" borderId="0" applyFill="0" applyBorder="0" applyAlignment="0"/>
    <xf numFmtId="180" fontId="90" fillId="0" borderId="0" applyFill="0" applyBorder="0" applyAlignment="0"/>
    <xf numFmtId="233" fontId="90" fillId="0" borderId="0" applyFill="0" applyBorder="0" applyAlignment="0"/>
    <xf numFmtId="234" fontId="15" fillId="0" borderId="0" applyFill="0" applyBorder="0" applyAlignment="0"/>
    <xf numFmtId="235" fontId="90" fillId="0" borderId="0" applyFill="0" applyBorder="0" applyAlignment="0"/>
    <xf numFmtId="236" fontId="90" fillId="0" borderId="0" applyFill="0" applyBorder="0" applyAlignment="0"/>
    <xf numFmtId="232" fontId="90" fillId="0" borderId="0" applyFill="0" applyBorder="0" applyAlignment="0"/>
    <xf numFmtId="0" fontId="91" fillId="48" borderId="7" applyNumberFormat="0" applyAlignment="0" applyProtection="0"/>
    <xf numFmtId="0" fontId="91" fillId="3" borderId="7" applyNumberFormat="0" applyAlignment="0" applyProtection="0"/>
    <xf numFmtId="0" fontId="91" fillId="3" borderId="7" applyNumberFormat="0" applyAlignment="0" applyProtection="0"/>
    <xf numFmtId="0" fontId="91" fillId="3" borderId="7" applyNumberFormat="0" applyAlignment="0" applyProtection="0"/>
    <xf numFmtId="0" fontId="92" fillId="0" borderId="0"/>
    <xf numFmtId="237" fontId="93" fillId="0" borderId="5" applyBorder="0"/>
    <xf numFmtId="237" fontId="94" fillId="0" borderId="1">
      <protection locked="0"/>
    </xf>
    <xf numFmtId="238" fontId="45" fillId="0" borderId="0" applyFont="0" applyFill="0" applyBorder="0" applyAlignment="0" applyProtection="0"/>
    <xf numFmtId="239" fontId="95" fillId="0" borderId="1"/>
    <xf numFmtId="0" fontId="96" fillId="50" borderId="8" applyNumberFormat="0" applyAlignment="0" applyProtection="0"/>
    <xf numFmtId="0" fontId="96" fillId="49" borderId="8" applyNumberFormat="0" applyAlignment="0" applyProtection="0"/>
    <xf numFmtId="0" fontId="96" fillId="49" borderId="8" applyNumberFormat="0" applyAlignment="0" applyProtection="0"/>
    <xf numFmtId="0" fontId="96" fillId="49" borderId="8" applyNumberFormat="0" applyAlignment="0" applyProtection="0"/>
    <xf numFmtId="175" fontId="19" fillId="0" borderId="0" applyFont="0" applyFill="0" applyBorder="0" applyAlignment="0" applyProtection="0"/>
    <xf numFmtId="4" fontId="97" fillId="0" borderId="0" applyAlignment="0"/>
    <xf numFmtId="1" fontId="98" fillId="0" borderId="9" applyBorder="0"/>
    <xf numFmtId="201" fontId="24" fillId="0" borderId="0" applyFont="0" applyFill="0" applyBorder="0" applyAlignment="0" applyProtection="0"/>
    <xf numFmtId="171" fontId="24" fillId="0" borderId="0" applyFont="0" applyFill="0" applyBorder="0" applyAlignment="0" applyProtection="0"/>
    <xf numFmtId="240" fontId="99" fillId="0" borderId="0"/>
    <xf numFmtId="240" fontId="99" fillId="0" borderId="0"/>
    <xf numFmtId="240" fontId="99" fillId="0" borderId="0"/>
    <xf numFmtId="240" fontId="99" fillId="0" borderId="0"/>
    <xf numFmtId="240" fontId="99" fillId="0" borderId="0"/>
    <xf numFmtId="240" fontId="99" fillId="0" borderId="0"/>
    <xf numFmtId="240" fontId="99" fillId="0" borderId="0"/>
    <xf numFmtId="240" fontId="99" fillId="0" borderId="0"/>
    <xf numFmtId="235" fontId="90" fillId="0" borderId="0" applyFont="0" applyFill="0" applyBorder="0" applyAlignment="0" applyProtection="0"/>
    <xf numFmtId="171" fontId="100" fillId="0" borderId="0" applyFont="0" applyFill="0" applyBorder="0" applyAlignment="0" applyProtection="0"/>
    <xf numFmtId="199" fontId="15" fillId="0" borderId="0" applyFont="0" applyFill="0" applyBorder="0" applyAlignment="0" applyProtection="0"/>
    <xf numFmtId="171" fontId="101" fillId="0" borderId="0" applyFont="0" applyFill="0" applyBorder="0" applyAlignment="0" applyProtection="0"/>
    <xf numFmtId="171" fontId="102" fillId="0" borderId="0" applyFont="0" applyFill="0" applyBorder="0" applyAlignment="0" applyProtection="0"/>
    <xf numFmtId="202" fontId="24"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65" fontId="15" fillId="0" borderId="0" applyFont="0" applyFill="0" applyBorder="0" applyAlignment="0" applyProtection="0"/>
    <xf numFmtId="171" fontId="70" fillId="0" borderId="0" applyFont="0" applyFill="0" applyBorder="0" applyAlignment="0" applyProtection="0"/>
    <xf numFmtId="171" fontId="15" fillId="0" borderId="0" applyNumberFormat="0" applyFont="0" applyBorder="0" applyAlignment="0" applyProtection="0"/>
    <xf numFmtId="171" fontId="101" fillId="0" borderId="0" applyFont="0" applyFill="0" applyBorder="0" applyAlignment="0" applyProtection="0"/>
    <xf numFmtId="171" fontId="103" fillId="0" borderId="0" applyFont="0" applyFill="0" applyBorder="0" applyAlignment="0" applyProtection="0"/>
    <xf numFmtId="171" fontId="104" fillId="0" borderId="0" applyFont="0" applyFill="0" applyBorder="0" applyAlignment="0" applyProtection="0"/>
    <xf numFmtId="171" fontId="6" fillId="0" borderId="0" applyFont="0" applyFill="0" applyBorder="0" applyAlignment="0" applyProtection="0"/>
    <xf numFmtId="171" fontId="257" fillId="0" borderId="0" applyFont="0" applyFill="0" applyBorder="0" applyAlignment="0" applyProtection="0"/>
    <xf numFmtId="241" fontId="87" fillId="0" borderId="0"/>
    <xf numFmtId="3" fontId="15" fillId="0" borderId="0" applyFont="0" applyFill="0" applyBorder="0" applyAlignment="0" applyProtection="0"/>
    <xf numFmtId="0" fontId="105" fillId="0" borderId="0" applyNumberFormat="0" applyAlignment="0">
      <alignment horizontal="left"/>
    </xf>
    <xf numFmtId="0" fontId="106" fillId="0" borderId="0" applyNumberFormat="0" applyAlignment="0"/>
    <xf numFmtId="202" fontId="107" fillId="0" borderId="0" applyFont="0" applyFill="0" applyBorder="0" applyAlignment="0" applyProtection="0"/>
    <xf numFmtId="242" fontId="49" fillId="0" borderId="0" applyFont="0" applyFill="0" applyBorder="0" applyAlignment="0" applyProtection="0"/>
    <xf numFmtId="243" fontId="14" fillId="0" borderId="0" applyFont="0" applyFill="0" applyBorder="0" applyAlignment="0" applyProtection="0"/>
    <xf numFmtId="43" fontId="51" fillId="0" borderId="0" applyFont="0" applyFill="0" applyBorder="0" applyAlignment="0" applyProtection="0"/>
    <xf numFmtId="244" fontId="108" fillId="0" borderId="0">
      <protection locked="0"/>
    </xf>
    <xf numFmtId="245" fontId="108" fillId="0" borderId="0">
      <protection locked="0"/>
    </xf>
    <xf numFmtId="246" fontId="109" fillId="0" borderId="10">
      <protection locked="0"/>
    </xf>
    <xf numFmtId="247" fontId="108" fillId="0" borderId="0">
      <protection locked="0"/>
    </xf>
    <xf numFmtId="248" fontId="108" fillId="0" borderId="0">
      <protection locked="0"/>
    </xf>
    <xf numFmtId="247" fontId="108" fillId="0" borderId="0" applyNumberFormat="0">
      <protection locked="0"/>
    </xf>
    <xf numFmtId="247" fontId="108" fillId="0" borderId="0">
      <protection locked="0"/>
    </xf>
    <xf numFmtId="237" fontId="110" fillId="0" borderId="3"/>
    <xf numFmtId="249" fontId="110" fillId="0" borderId="3"/>
    <xf numFmtId="232" fontId="90" fillId="0" borderId="0" applyFont="0" applyFill="0" applyBorder="0" applyAlignment="0" applyProtection="0"/>
    <xf numFmtId="250" fontId="15" fillId="0" borderId="0" applyFont="0" applyFill="0" applyBorder="0" applyAlignment="0" applyProtection="0"/>
    <xf numFmtId="251" fontId="15" fillId="0" borderId="0" applyFont="0" applyFill="0" applyBorder="0" applyAlignment="0" applyProtection="0"/>
    <xf numFmtId="252" fontId="15" fillId="0" borderId="0"/>
    <xf numFmtId="237" fontId="27" fillId="0" borderId="3">
      <alignment horizontal="center"/>
      <protection hidden="1"/>
    </xf>
    <xf numFmtId="253" fontId="111" fillId="0" borderId="3">
      <alignment horizontal="center"/>
      <protection hidden="1"/>
    </xf>
    <xf numFmtId="2" fontId="27" fillId="0" borderId="3">
      <alignment horizontal="center"/>
      <protection hidden="1"/>
    </xf>
    <xf numFmtId="0" fontId="15" fillId="0" borderId="0" applyFont="0" applyFill="0" applyBorder="0" applyAlignment="0" applyProtection="0"/>
    <xf numFmtId="14" fontId="43" fillId="0" borderId="0" applyFill="0" applyBorder="0" applyAlignment="0"/>
    <xf numFmtId="0" fontId="15" fillId="0" borderId="0" applyFont="0" applyFill="0" applyBorder="0" applyAlignment="0" applyProtection="0"/>
    <xf numFmtId="0" fontId="112" fillId="3" borderId="11" applyNumberFormat="0" applyAlignment="0" applyProtection="0"/>
    <xf numFmtId="0" fontId="113" fillId="14" borderId="7" applyNumberFormat="0" applyAlignment="0" applyProtection="0"/>
    <xf numFmtId="0" fontId="114" fillId="0" borderId="0"/>
    <xf numFmtId="16" fontId="15" fillId="0" borderId="0"/>
    <xf numFmtId="16" fontId="15" fillId="0" borderId="0"/>
    <xf numFmtId="0" fontId="115" fillId="0" borderId="12" applyNumberFormat="0" applyFill="0" applyAlignment="0" applyProtection="0"/>
    <xf numFmtId="0" fontId="116" fillId="0" borderId="13" applyNumberFormat="0" applyFill="0" applyAlignment="0" applyProtection="0"/>
    <xf numFmtId="0" fontId="117" fillId="0" borderId="14" applyNumberFormat="0" applyFill="0" applyAlignment="0" applyProtection="0"/>
    <xf numFmtId="0" fontId="117" fillId="0" borderId="0" applyNumberFormat="0" applyFill="0" applyBorder="0" applyAlignment="0" applyProtection="0"/>
    <xf numFmtId="254" fontId="15" fillId="0" borderId="15">
      <alignment vertical="center"/>
    </xf>
    <xf numFmtId="255" fontId="15" fillId="0" borderId="0" applyFont="0" applyFill="0" applyBorder="0" applyAlignment="0" applyProtection="0"/>
    <xf numFmtId="256" fontId="15" fillId="0" borderId="0" applyFont="0" applyFill="0" applyBorder="0" applyAlignment="0" applyProtection="0"/>
    <xf numFmtId="257" fontId="14" fillId="0" borderId="0" applyFont="0" applyFill="0" applyBorder="0" applyAlignment="0" applyProtection="0"/>
    <xf numFmtId="185" fontId="15" fillId="0" borderId="0" applyFont="0" applyFill="0" applyBorder="0" applyAlignment="0" applyProtection="0"/>
    <xf numFmtId="258" fontId="15" fillId="0" borderId="0"/>
    <xf numFmtId="0" fontId="47" fillId="0" borderId="0">
      <alignment vertical="top" wrapText="1"/>
    </xf>
    <xf numFmtId="41" fontId="118" fillId="0" borderId="0" applyFont="0" applyFill="0" applyBorder="0" applyAlignment="0" applyProtection="0"/>
    <xf numFmtId="43" fontId="118" fillId="0" borderId="0" applyFont="0" applyFill="0" applyBorder="0" applyAlignment="0" applyProtection="0"/>
    <xf numFmtId="41" fontId="118" fillId="0" borderId="0" applyFont="0" applyFill="0" applyBorder="0" applyAlignment="0" applyProtection="0"/>
    <xf numFmtId="169" fontId="118" fillId="0" borderId="0" applyFont="0" applyFill="0" applyBorder="0" applyAlignment="0" applyProtection="0"/>
    <xf numFmtId="41" fontId="118" fillId="0" borderId="0" applyFont="0" applyFill="0" applyBorder="0" applyAlignment="0" applyProtection="0"/>
    <xf numFmtId="41" fontId="118" fillId="0" borderId="0" applyFont="0" applyFill="0" applyBorder="0" applyAlignment="0" applyProtection="0"/>
    <xf numFmtId="169" fontId="118" fillId="0" borderId="0" applyFont="0" applyFill="0" applyBorder="0" applyAlignment="0" applyProtection="0"/>
    <xf numFmtId="169" fontId="118" fillId="0" borderId="0" applyFont="0" applyFill="0" applyBorder="0" applyAlignment="0" applyProtection="0"/>
    <xf numFmtId="164" fontId="118" fillId="0" borderId="0" applyFont="0" applyFill="0" applyBorder="0" applyAlignment="0" applyProtection="0"/>
    <xf numFmtId="164" fontId="118" fillId="0" borderId="0" applyFont="0" applyFill="0" applyBorder="0" applyAlignment="0" applyProtection="0"/>
    <xf numFmtId="169" fontId="118" fillId="0" borderId="0" applyFont="0" applyFill="0" applyBorder="0" applyAlignment="0" applyProtection="0"/>
    <xf numFmtId="41" fontId="118" fillId="0" borderId="0" applyFont="0" applyFill="0" applyBorder="0" applyAlignment="0" applyProtection="0"/>
    <xf numFmtId="41" fontId="118" fillId="0" borderId="0" applyFont="0" applyFill="0" applyBorder="0" applyAlignment="0" applyProtection="0"/>
    <xf numFmtId="41" fontId="118" fillId="0" borderId="0" applyFont="0" applyFill="0" applyBorder="0" applyAlignment="0" applyProtection="0"/>
    <xf numFmtId="169" fontId="118" fillId="0" borderId="0" applyFont="0" applyFill="0" applyBorder="0" applyAlignment="0" applyProtection="0"/>
    <xf numFmtId="169" fontId="118" fillId="0" borderId="0" applyFont="0" applyFill="0" applyBorder="0" applyAlignment="0" applyProtection="0"/>
    <xf numFmtId="164" fontId="118" fillId="0" borderId="0" applyFont="0" applyFill="0" applyBorder="0" applyAlignment="0" applyProtection="0"/>
    <xf numFmtId="164" fontId="118" fillId="0" borderId="0" applyFont="0" applyFill="0" applyBorder="0" applyAlignment="0" applyProtection="0"/>
    <xf numFmtId="164" fontId="118" fillId="0" borderId="0" applyFont="0" applyFill="0" applyBorder="0" applyAlignment="0" applyProtection="0"/>
    <xf numFmtId="164" fontId="118" fillId="0" borderId="0" applyFont="0" applyFill="0" applyBorder="0" applyAlignment="0" applyProtection="0"/>
    <xf numFmtId="169" fontId="118" fillId="0" borderId="0" applyFont="0" applyFill="0" applyBorder="0" applyAlignment="0" applyProtection="0"/>
    <xf numFmtId="43" fontId="118" fillId="0" borderId="0" applyFont="0" applyFill="0" applyBorder="0" applyAlignment="0" applyProtection="0"/>
    <xf numFmtId="171"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1" fontId="118" fillId="0" borderId="0" applyFont="0" applyFill="0" applyBorder="0" applyAlignment="0" applyProtection="0"/>
    <xf numFmtId="171"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71"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1" fontId="118" fillId="0" borderId="0" applyFont="0" applyFill="0" applyBorder="0" applyAlignment="0" applyProtection="0"/>
    <xf numFmtId="171"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71" fontId="118" fillId="0" borderId="0" applyFont="0" applyFill="0" applyBorder="0" applyAlignment="0" applyProtection="0"/>
    <xf numFmtId="3" fontId="6" fillId="0" borderId="0" applyFont="0" applyBorder="0" applyAlignment="0"/>
    <xf numFmtId="0" fontId="119" fillId="0" borderId="0">
      <alignment vertical="center"/>
    </xf>
    <xf numFmtId="0" fontId="120" fillId="51" borderId="0" applyNumberFormat="0" applyBorder="0" applyAlignment="0" applyProtection="0"/>
    <xf numFmtId="0" fontId="120" fillId="52" borderId="0" applyNumberFormat="0" applyBorder="0" applyAlignment="0" applyProtection="0"/>
    <xf numFmtId="0" fontId="120" fillId="53" borderId="0" applyNumberFormat="0" applyBorder="0" applyAlignment="0" applyProtection="0"/>
    <xf numFmtId="235" fontId="90" fillId="0" borderId="0" applyFill="0" applyBorder="0" applyAlignment="0"/>
    <xf numFmtId="232" fontId="90" fillId="0" borderId="0" applyFill="0" applyBorder="0" applyAlignment="0"/>
    <xf numFmtId="235" fontId="90" fillId="0" borderId="0" applyFill="0" applyBorder="0" applyAlignment="0"/>
    <xf numFmtId="236" fontId="90" fillId="0" borderId="0" applyFill="0" applyBorder="0" applyAlignment="0"/>
    <xf numFmtId="232" fontId="90" fillId="0" borderId="0" applyFill="0" applyBorder="0" applyAlignment="0"/>
    <xf numFmtId="0" fontId="121" fillId="0" borderId="0" applyNumberFormat="0" applyAlignment="0">
      <alignment horizontal="left"/>
    </xf>
    <xf numFmtId="259" fontId="122" fillId="0" borderId="0">
      <protection locked="0"/>
    </xf>
    <xf numFmtId="259" fontId="122" fillId="0" borderId="0">
      <protection locked="0"/>
    </xf>
    <xf numFmtId="260" fontId="15" fillId="0" borderId="0" applyFon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3" fontId="6" fillId="0" borderId="0" applyFont="0" applyBorder="0" applyAlignment="0"/>
    <xf numFmtId="4" fontId="124" fillId="0" borderId="0">
      <protection locked="0"/>
    </xf>
    <xf numFmtId="261" fontId="124" fillId="0" borderId="0">
      <protection locked="0"/>
    </xf>
    <xf numFmtId="2" fontId="15" fillId="0" borderId="0" applyFont="0" applyFill="0" applyBorder="0" applyAlignment="0" applyProtection="0"/>
    <xf numFmtId="0" fontId="125" fillId="0" borderId="0" applyNumberFormat="0" applyFill="0" applyBorder="0" applyAlignment="0" applyProtection="0"/>
    <xf numFmtId="0" fontId="126" fillId="0" borderId="0" applyNumberFormat="0" applyFill="0" applyBorder="0" applyProtection="0">
      <alignment vertical="center"/>
    </xf>
    <xf numFmtId="0" fontId="127" fillId="0" borderId="0" applyNumberFormat="0" applyFill="0" applyBorder="0" applyAlignment="0" applyProtection="0"/>
    <xf numFmtId="0" fontId="128" fillId="0" borderId="0" applyNumberFormat="0" applyFill="0" applyBorder="0" applyProtection="0">
      <alignment vertical="center"/>
    </xf>
    <xf numFmtId="262" fontId="129" fillId="0" borderId="16" applyNumberFormat="0" applyFill="0" applyBorder="0" applyAlignment="0" applyProtection="0"/>
    <xf numFmtId="0" fontId="130" fillId="0" borderId="0" applyNumberFormat="0" applyFill="0" applyBorder="0" applyAlignment="0" applyProtection="0"/>
    <xf numFmtId="0" fontId="127" fillId="0" borderId="0" applyNumberFormat="0" applyFill="0" applyBorder="0" applyAlignment="0" applyProtection="0"/>
    <xf numFmtId="262" fontId="131" fillId="0" borderId="17" applyNumberFormat="0" applyFill="0" applyBorder="0" applyAlignment="0" applyProtection="0"/>
    <xf numFmtId="0" fontId="132" fillId="0" borderId="0" applyNumberFormat="0" applyFill="0" applyBorder="0" applyAlignment="0" applyProtection="0"/>
    <xf numFmtId="0" fontId="15" fillId="54" borderId="18" applyNumberFormat="0" applyFont="0" applyAlignment="0" applyProtection="0"/>
    <xf numFmtId="3" fontId="24" fillId="55" borderId="19">
      <alignment horizontal="right" vertical="top" wrapText="1"/>
    </xf>
    <xf numFmtId="0" fontId="133" fillId="9" borderId="0" applyNumberFormat="0" applyBorder="0" applyAlignment="0" applyProtection="0"/>
    <xf numFmtId="0" fontId="133" fillId="8" borderId="0" applyNumberFormat="0" applyBorder="0" applyAlignment="0" applyProtection="0"/>
    <xf numFmtId="0" fontId="133" fillId="8" borderId="0" applyNumberFormat="0" applyBorder="0" applyAlignment="0" applyProtection="0"/>
    <xf numFmtId="0" fontId="133" fillId="8" borderId="0" applyNumberFormat="0" applyBorder="0" applyAlignment="0" applyProtection="0"/>
    <xf numFmtId="38" fontId="134" fillId="2" borderId="0" applyNumberFormat="0" applyBorder="0" applyAlignment="0" applyProtection="0"/>
    <xf numFmtId="0" fontId="135" fillId="0" borderId="20" applyNumberFormat="0" applyFill="0" applyBorder="0" applyAlignment="0" applyProtection="0">
      <alignment horizontal="center" vertical="center"/>
    </xf>
    <xf numFmtId="263" fontId="6" fillId="56" borderId="20" applyBorder="0">
      <alignment horizontal="center"/>
    </xf>
    <xf numFmtId="263" fontId="6" fillId="56" borderId="20" applyBorder="0">
      <alignment horizontal="center"/>
    </xf>
    <xf numFmtId="264" fontId="6" fillId="56" borderId="20" applyBorder="0">
      <alignment horizontal="center"/>
    </xf>
    <xf numFmtId="264" fontId="6" fillId="56" borderId="20" applyBorder="0">
      <alignment horizontal="center"/>
    </xf>
    <xf numFmtId="264" fontId="6" fillId="56" borderId="20" applyBorder="0">
      <alignment horizontal="center"/>
    </xf>
    <xf numFmtId="263" fontId="6" fillId="56" borderId="20" applyBorder="0">
      <alignment horizontal="center"/>
    </xf>
    <xf numFmtId="264" fontId="6" fillId="56" borderId="20" applyBorder="0">
      <alignment horizontal="center"/>
    </xf>
    <xf numFmtId="264" fontId="6" fillId="56" borderId="20" applyBorder="0">
      <alignment horizontal="center"/>
    </xf>
    <xf numFmtId="264" fontId="6" fillId="56" borderId="20" applyBorder="0">
      <alignment horizontal="center"/>
    </xf>
    <xf numFmtId="264" fontId="6" fillId="56" borderId="20" applyBorder="0">
      <alignment horizontal="center"/>
    </xf>
    <xf numFmtId="263" fontId="6" fillId="56" borderId="20" applyBorder="0">
      <alignment horizontal="center"/>
    </xf>
    <xf numFmtId="264" fontId="6" fillId="56" borderId="20" applyBorder="0">
      <alignment horizontal="center"/>
    </xf>
    <xf numFmtId="264" fontId="6" fillId="56" borderId="20" applyBorder="0">
      <alignment horizontal="center"/>
    </xf>
    <xf numFmtId="264" fontId="6" fillId="56" borderId="20" applyBorder="0">
      <alignment horizontal="center"/>
    </xf>
    <xf numFmtId="263" fontId="6" fillId="56" borderId="20" applyBorder="0">
      <alignment horizontal="center"/>
    </xf>
    <xf numFmtId="264" fontId="6" fillId="56" borderId="20" applyBorder="0">
      <alignment horizontal="center"/>
    </xf>
    <xf numFmtId="264" fontId="6" fillId="56" borderId="20" applyBorder="0">
      <alignment horizontal="center"/>
    </xf>
    <xf numFmtId="264" fontId="6" fillId="56" borderId="20" applyBorder="0">
      <alignment horizontal="center"/>
    </xf>
    <xf numFmtId="264" fontId="6" fillId="56" borderId="20" applyBorder="0">
      <alignment horizontal="center"/>
    </xf>
    <xf numFmtId="264" fontId="6" fillId="56" borderId="20" applyBorder="0">
      <alignment horizontal="center"/>
    </xf>
    <xf numFmtId="263" fontId="6" fillId="56" borderId="20" applyBorder="0">
      <alignment horizontal="center"/>
    </xf>
    <xf numFmtId="264" fontId="6" fillId="56" borderId="20" applyBorder="0">
      <alignment horizontal="center"/>
    </xf>
    <xf numFmtId="264" fontId="6" fillId="56" borderId="20" applyBorder="0">
      <alignment horizontal="center"/>
    </xf>
    <xf numFmtId="264" fontId="6" fillId="56" borderId="20" applyBorder="0">
      <alignment horizontal="center"/>
    </xf>
    <xf numFmtId="0" fontId="136" fillId="0" borderId="0" applyNumberFormat="0" applyFont="0" applyBorder="0" applyAlignment="0">
      <alignment horizontal="left" vertical="center"/>
    </xf>
    <xf numFmtId="0" fontId="137" fillId="57" borderId="0"/>
    <xf numFmtId="0" fontId="138" fillId="0" borderId="0">
      <alignment horizontal="left"/>
    </xf>
    <xf numFmtId="0" fontId="139" fillId="0" borderId="21" applyNumberFormat="0" applyAlignment="0" applyProtection="0">
      <alignment horizontal="left" vertical="center"/>
    </xf>
    <xf numFmtId="0" fontId="139" fillId="0" borderId="22">
      <alignment horizontal="left" vertical="center"/>
    </xf>
    <xf numFmtId="0" fontId="140" fillId="0" borderId="0" applyNumberFormat="0" applyFill="0" applyBorder="0" applyAlignment="0" applyProtection="0"/>
    <xf numFmtId="0" fontId="115" fillId="0" borderId="12" applyNumberFormat="0" applyFill="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16" fillId="0" borderId="13" applyNumberFormat="0" applyFill="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17" fillId="0" borderId="14" applyNumberFormat="0" applyFill="0" applyAlignment="0" applyProtection="0"/>
    <xf numFmtId="0" fontId="117" fillId="0" borderId="14" applyNumberFormat="0" applyFill="0" applyAlignment="0" applyProtection="0"/>
    <xf numFmtId="0" fontId="117" fillId="0" borderId="14"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259" fontId="122" fillId="0" borderId="0">
      <protection locked="0"/>
    </xf>
    <xf numFmtId="259" fontId="122" fillId="0" borderId="0">
      <protection locked="0"/>
    </xf>
    <xf numFmtId="0" fontId="142" fillId="0" borderId="23">
      <alignment horizontal="center"/>
    </xf>
    <xf numFmtId="0" fontId="142" fillId="0" borderId="0">
      <alignment horizontal="center"/>
    </xf>
    <xf numFmtId="166" fontId="10" fillId="58" borderId="2" applyNumberFormat="0" applyAlignment="0">
      <alignment horizontal="left" vertical="top"/>
    </xf>
    <xf numFmtId="265" fontId="79" fillId="0" borderId="0" applyFont="0" applyFill="0" applyBorder="0" applyAlignment="0" applyProtection="0">
      <alignment horizontal="center" vertical="center"/>
    </xf>
    <xf numFmtId="0" fontId="143" fillId="0" borderId="0"/>
    <xf numFmtId="49" fontId="144" fillId="0" borderId="2">
      <alignment vertical="center"/>
    </xf>
    <xf numFmtId="219" fontId="45" fillId="0" borderId="0" applyFont="0" applyFill="0" applyBorder="0" applyAlignment="0" applyProtection="0"/>
    <xf numFmtId="0" fontId="145" fillId="0" borderId="0"/>
    <xf numFmtId="0" fontId="146" fillId="0" borderId="0" applyFont="0" applyFill="0" applyBorder="0" applyAlignment="0" applyProtection="0"/>
    <xf numFmtId="0" fontId="147" fillId="0" borderId="0" applyFont="0" applyFill="0" applyBorder="0" applyAlignment="0" applyProtection="0"/>
    <xf numFmtId="10" fontId="134" fillId="59" borderId="2" applyNumberFormat="0" applyBorder="0" applyAlignment="0" applyProtection="0"/>
    <xf numFmtId="0" fontId="113" fillId="15" borderId="7" applyNumberFormat="0" applyAlignment="0" applyProtection="0"/>
    <xf numFmtId="0" fontId="113" fillId="14" borderId="7" applyNumberFormat="0" applyAlignment="0" applyProtection="0"/>
    <xf numFmtId="0" fontId="113" fillId="14" borderId="7" applyNumberFormat="0" applyAlignment="0" applyProtection="0"/>
    <xf numFmtId="0" fontId="113" fillId="14" borderId="7" applyNumberFormat="0" applyAlignment="0" applyProtection="0"/>
    <xf numFmtId="232" fontId="148" fillId="60" borderId="0"/>
    <xf numFmtId="2" fontId="149" fillId="0" borderId="24" applyBorder="0"/>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3" fillId="0" borderId="1" applyNumberFormat="0" applyFont="0" applyFill="0" applyAlignment="0" applyProtection="0">
      <alignment horizontal="center"/>
    </xf>
    <xf numFmtId="0" fontId="154" fillId="0" borderId="1" applyNumberFormat="0" applyFont="0" applyFill="0" applyAlignment="0" applyProtection="0">
      <alignment horizontal="center"/>
    </xf>
    <xf numFmtId="0" fontId="6" fillId="0" borderId="25" applyNumberFormat="0" applyFont="0" applyFill="0" applyAlignment="0" applyProtection="0"/>
    <xf numFmtId="0" fontId="6" fillId="0" borderId="26" applyNumberFormat="0" applyFont="0" applyFill="0" applyAlignment="0" applyProtection="0"/>
    <xf numFmtId="0" fontId="6" fillId="0" borderId="0"/>
    <xf numFmtId="0" fontId="80" fillId="0" borderId="27">
      <alignment horizontal="centerContinuous"/>
    </xf>
    <xf numFmtId="0" fontId="96" fillId="49" borderId="8" applyNumberFormat="0" applyAlignment="0" applyProtection="0"/>
    <xf numFmtId="0" fontId="43" fillId="0" borderId="0">
      <alignment vertical="top"/>
    </xf>
    <xf numFmtId="173" fontId="24" fillId="61" borderId="19">
      <alignment vertical="top" wrapText="1"/>
    </xf>
    <xf numFmtId="0" fontId="30" fillId="0" borderId="0"/>
    <xf numFmtId="0" fontId="42" fillId="0" borderId="0"/>
    <xf numFmtId="235" fontId="90" fillId="0" borderId="0" applyFill="0" applyBorder="0" applyAlignment="0"/>
    <xf numFmtId="232" fontId="90" fillId="0" borderId="0" applyFill="0" applyBorder="0" applyAlignment="0"/>
    <xf numFmtId="235" fontId="90" fillId="0" borderId="0" applyFill="0" applyBorder="0" applyAlignment="0"/>
    <xf numFmtId="236" fontId="90" fillId="0" borderId="0" applyFill="0" applyBorder="0" applyAlignment="0"/>
    <xf numFmtId="232" fontId="90" fillId="0" borderId="0" applyFill="0" applyBorder="0" applyAlignment="0"/>
    <xf numFmtId="0" fontId="155" fillId="0" borderId="0" applyNumberFormat="0" applyFill="0" applyBorder="0" applyAlignment="0" applyProtection="0"/>
    <xf numFmtId="0" fontId="156" fillId="0" borderId="28" applyNumberFormat="0" applyFill="0" applyAlignment="0" applyProtection="0"/>
    <xf numFmtId="0" fontId="156" fillId="0" borderId="28" applyNumberFormat="0" applyFill="0" applyAlignment="0" applyProtection="0"/>
    <xf numFmtId="0" fontId="156" fillId="0" borderId="28" applyNumberFormat="0" applyFill="0" applyAlignment="0" applyProtection="0"/>
    <xf numFmtId="232" fontId="157" fillId="62" borderId="0"/>
    <xf numFmtId="237" fontId="134" fillId="0" borderId="5" applyFont="0"/>
    <xf numFmtId="3" fontId="15" fillId="0" borderId="25"/>
    <xf numFmtId="0" fontId="79" fillId="0" borderId="0" applyFont="0" applyFill="0" applyBorder="0" applyProtection="0">
      <alignment horizontal="center" vertical="center"/>
    </xf>
    <xf numFmtId="176" fontId="101" fillId="0" borderId="29" applyNumberFormat="0" applyFont="0" applyFill="0" applyBorder="0">
      <alignment horizontal="center"/>
    </xf>
    <xf numFmtId="266" fontId="15" fillId="0" borderId="0" applyBorder="0">
      <alignment horizontal="left" vertical="center"/>
    </xf>
    <xf numFmtId="38" fontId="42" fillId="0" borderId="0" applyFont="0" applyFill="0" applyBorder="0" applyAlignment="0" applyProtection="0"/>
    <xf numFmtId="4" fontId="90" fillId="0" borderId="0" applyFont="0" applyFill="0" applyBorder="0" applyAlignment="0" applyProtection="0"/>
    <xf numFmtId="38" fontId="42" fillId="0" borderId="0" applyFont="0" applyFill="0" applyBorder="0" applyAlignment="0" applyProtection="0"/>
    <xf numFmtId="40" fontId="42"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0" fontId="158" fillId="0" borderId="1"/>
    <xf numFmtId="0" fontId="159" fillId="0" borderId="23"/>
    <xf numFmtId="267" fontId="160" fillId="0" borderId="29"/>
    <xf numFmtId="268" fontId="15" fillId="0" borderId="0" applyFont="0" applyFill="0" applyBorder="0" applyAlignment="0" applyProtection="0"/>
    <xf numFmtId="269" fontId="15" fillId="0" borderId="0" applyFont="0" applyFill="0" applyBorder="0" applyAlignment="0" applyProtection="0"/>
    <xf numFmtId="189" fontId="161" fillId="0" borderId="0" applyFont="0" applyFill="0" applyBorder="0" applyAlignment="0" applyProtection="0"/>
    <xf numFmtId="188" fontId="161" fillId="0" borderId="0" applyFont="0" applyFill="0" applyBorder="0" applyAlignment="0" applyProtection="0"/>
    <xf numFmtId="270" fontId="124" fillId="0" borderId="0">
      <protection locked="0"/>
    </xf>
    <xf numFmtId="271" fontId="15" fillId="0" borderId="0" applyFont="0" applyFill="0" applyBorder="0" applyAlignment="0" applyProtection="0"/>
    <xf numFmtId="272" fontId="15" fillId="0" borderId="0" applyFont="0" applyFill="0" applyBorder="0" applyAlignment="0" applyProtection="0"/>
    <xf numFmtId="270" fontId="124" fillId="0" borderId="0">
      <protection locked="0"/>
    </xf>
    <xf numFmtId="273" fontId="29" fillId="0" borderId="0" applyFont="0" applyFill="0" applyBorder="0" applyAlignment="0" applyProtection="0"/>
    <xf numFmtId="274" fontId="29" fillId="0" borderId="0" applyFont="0" applyFill="0" applyBorder="0" applyAlignment="0" applyProtection="0"/>
    <xf numFmtId="273" fontId="42" fillId="0" borderId="0" applyFont="0" applyFill="0" applyBorder="0" applyAlignment="0" applyProtection="0"/>
    <xf numFmtId="274" fontId="42" fillId="0" borderId="0" applyFont="0" applyFill="0" applyBorder="0" applyAlignment="0" applyProtection="0"/>
    <xf numFmtId="0" fontId="162" fillId="0" borderId="0" applyNumberFormat="0" applyFont="0" applyFill="0" applyAlignment="0"/>
    <xf numFmtId="0" fontId="162" fillId="0" borderId="0" applyNumberFormat="0" applyFont="0" applyFill="0" applyAlignment="0"/>
    <xf numFmtId="0" fontId="110" fillId="0" borderId="0">
      <alignment horizontal="justify" vertical="top"/>
    </xf>
    <xf numFmtId="0" fontId="163" fillId="64" borderId="0" applyNumberFormat="0" applyBorder="0" applyAlignment="0" applyProtection="0"/>
    <xf numFmtId="0" fontId="163" fillId="63" borderId="0" applyNumberFormat="0" applyBorder="0" applyAlignment="0" applyProtection="0"/>
    <xf numFmtId="0" fontId="163" fillId="63" borderId="0" applyNumberFormat="0" applyBorder="0" applyAlignment="0" applyProtection="0"/>
    <xf numFmtId="0" fontId="163" fillId="63" borderId="0" applyNumberFormat="0" applyBorder="0" applyAlignment="0" applyProtection="0"/>
    <xf numFmtId="0" fontId="49" fillId="0" borderId="2"/>
    <xf numFmtId="0" fontId="87" fillId="0" borderId="0"/>
    <xf numFmtId="0" fontId="49" fillId="0" borderId="2"/>
    <xf numFmtId="0" fontId="73" fillId="32" borderId="0" applyNumberFormat="0" applyBorder="0" applyAlignment="0" applyProtection="0"/>
    <xf numFmtId="0" fontId="73" fillId="36" borderId="0" applyNumberFormat="0" applyBorder="0" applyAlignment="0" applyProtection="0"/>
    <xf numFmtId="0" fontId="73" fillId="41" borderId="0" applyNumberFormat="0" applyBorder="0" applyAlignment="0" applyProtection="0"/>
    <xf numFmtId="0" fontId="73" fillId="26" borderId="0" applyNumberFormat="0" applyBorder="0" applyAlignment="0" applyProtection="0"/>
    <xf numFmtId="0" fontId="73" fillId="28" borderId="0" applyNumberFormat="0" applyBorder="0" applyAlignment="0" applyProtection="0"/>
    <xf numFmtId="0" fontId="73" fillId="45" borderId="0" applyNumberFormat="0" applyBorder="0" applyAlignment="0" applyProtection="0"/>
    <xf numFmtId="37" fontId="164" fillId="0" borderId="0"/>
    <xf numFmtId="0" fontId="29" fillId="65" borderId="30" applyNumberFormat="0" applyBorder="0" applyAlignment="0">
      <alignment vertical="top"/>
    </xf>
    <xf numFmtId="0" fontId="165" fillId="0" borderId="2" applyNumberFormat="0" applyFont="0" applyFill="0" applyBorder="0" applyAlignment="0">
      <alignment horizontal="center"/>
    </xf>
    <xf numFmtId="0" fontId="166" fillId="0" borderId="0"/>
    <xf numFmtId="275" fontId="15" fillId="0" borderId="0"/>
    <xf numFmtId="0" fontId="167" fillId="0" borderId="0"/>
    <xf numFmtId="0" fontId="100" fillId="0" borderId="0"/>
    <xf numFmtId="0" fontId="70" fillId="0" borderId="0"/>
    <xf numFmtId="0" fontId="15" fillId="0" borderId="0"/>
    <xf numFmtId="0" fontId="15" fillId="0" borderId="0"/>
    <xf numFmtId="0" fontId="15" fillId="0" borderId="0"/>
    <xf numFmtId="0" fontId="10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0" fillId="0" borderId="0"/>
    <xf numFmtId="0" fontId="15" fillId="0" borderId="0"/>
    <xf numFmtId="0" fontId="15" fillId="0" borderId="0"/>
    <xf numFmtId="0" fontId="15" fillId="0" borderId="0">
      <alignment vertical="top"/>
    </xf>
    <xf numFmtId="0" fontId="15" fillId="0" borderId="0">
      <alignment vertical="top"/>
    </xf>
    <xf numFmtId="0" fontId="15" fillId="0" borderId="0"/>
    <xf numFmtId="0" fontId="7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0" fillId="0" borderId="0"/>
    <xf numFmtId="0" fontId="6" fillId="0" borderId="0"/>
    <xf numFmtId="0" fontId="43" fillId="0" borderId="0"/>
    <xf numFmtId="0" fontId="70" fillId="0" borderId="0"/>
    <xf numFmtId="0" fontId="70" fillId="0" borderId="0"/>
    <xf numFmtId="0" fontId="15" fillId="0" borderId="0"/>
    <xf numFmtId="0" fontId="70" fillId="0" borderId="0"/>
    <xf numFmtId="0" fontId="70" fillId="0" borderId="0"/>
    <xf numFmtId="0" fontId="15" fillId="0" borderId="0"/>
    <xf numFmtId="0" fontId="70" fillId="0" borderId="0"/>
    <xf numFmtId="0" fontId="70" fillId="0" borderId="0"/>
    <xf numFmtId="0" fontId="70" fillId="0" borderId="0"/>
    <xf numFmtId="0" fontId="15" fillId="0" borderId="0"/>
    <xf numFmtId="0" fontId="168" fillId="0" borderId="0"/>
    <xf numFmtId="0" fontId="15" fillId="0" borderId="0"/>
    <xf numFmtId="0" fontId="15" fillId="0" borderId="0"/>
    <xf numFmtId="0" fontId="15" fillId="0" borderId="0"/>
    <xf numFmtId="0" fontId="24" fillId="0" borderId="0"/>
    <xf numFmtId="0" fontId="27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69" fillId="0" borderId="0"/>
    <xf numFmtId="0" fontId="169" fillId="0" borderId="0"/>
    <xf numFmtId="0" fontId="70" fillId="0" borderId="0"/>
    <xf numFmtId="0" fontId="15" fillId="0" borderId="0"/>
    <xf numFmtId="0" fontId="15" fillId="0" borderId="0"/>
    <xf numFmtId="0" fontId="70" fillId="0" borderId="0"/>
    <xf numFmtId="0" fontId="104" fillId="0" borderId="0"/>
    <xf numFmtId="0" fontId="15" fillId="0" borderId="0"/>
    <xf numFmtId="0" fontId="15" fillId="0" borderId="0"/>
    <xf numFmtId="0" fontId="15" fillId="0" borderId="0"/>
    <xf numFmtId="0" fontId="100" fillId="0" borderId="0">
      <alignment vertical="top"/>
    </xf>
    <xf numFmtId="0" fontId="15" fillId="0" borderId="0"/>
    <xf numFmtId="0" fontId="6" fillId="0" borderId="0"/>
    <xf numFmtId="0" fontId="170" fillId="0" borderId="0">
      <alignment horizontal="left" vertical="top"/>
    </xf>
    <xf numFmtId="0" fontId="90" fillId="59" borderId="0"/>
    <xf numFmtId="0" fontId="118" fillId="0" borderId="0"/>
    <xf numFmtId="0" fontId="15" fillId="0" borderId="0"/>
    <xf numFmtId="0" fontId="15" fillId="66" borderId="18" applyNumberFormat="0" applyAlignment="0" applyProtection="0"/>
    <xf numFmtId="0" fontId="70" fillId="54" borderId="18" applyNumberFormat="0" applyFont="0" applyAlignment="0" applyProtection="0"/>
    <xf numFmtId="0" fontId="15" fillId="54" borderId="18" applyNumberFormat="0" applyFont="0" applyAlignment="0" applyProtection="0"/>
    <xf numFmtId="0" fontId="15" fillId="54" borderId="18" applyNumberFormat="0" applyFont="0" applyAlignment="0" applyProtection="0"/>
    <xf numFmtId="0" fontId="156" fillId="0" borderId="28" applyNumberFormat="0" applyFill="0" applyAlignment="0" applyProtection="0"/>
    <xf numFmtId="0" fontId="14" fillId="0" borderId="0"/>
    <xf numFmtId="43" fontId="55" fillId="0" borderId="0" applyFont="0" applyFill="0" applyBorder="0" applyAlignment="0" applyProtection="0"/>
    <xf numFmtId="41" fontId="55" fillId="0" borderId="0" applyFon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49" fillId="0" borderId="0" applyNumberFormat="0" applyFill="0" applyBorder="0" applyAlignment="0" applyProtection="0"/>
    <xf numFmtId="0" fontId="6" fillId="0" borderId="0" applyNumberFormat="0" applyFill="0" applyBorder="0" applyAlignment="0" applyProtection="0"/>
    <xf numFmtId="0" fontId="15" fillId="0" borderId="0" applyFont="0" applyFill="0" applyBorder="0" applyAlignment="0" applyProtection="0"/>
    <xf numFmtId="0" fontId="11" fillId="0" borderId="0"/>
    <xf numFmtId="0" fontId="87" fillId="0" borderId="0"/>
    <xf numFmtId="0" fontId="112" fillId="48" borderId="11" applyNumberFormat="0" applyAlignment="0" applyProtection="0"/>
    <xf numFmtId="0" fontId="112" fillId="3" borderId="11" applyNumberFormat="0" applyAlignment="0" applyProtection="0"/>
    <xf numFmtId="0" fontId="112" fillId="3" borderId="11" applyNumberFormat="0" applyAlignment="0" applyProtection="0"/>
    <xf numFmtId="0" fontId="112" fillId="3" borderId="11" applyNumberFormat="0" applyAlignment="0" applyProtection="0"/>
    <xf numFmtId="0" fontId="29" fillId="2" borderId="30" applyNumberFormat="0" applyBorder="0" applyAlignment="0">
      <alignment vertical="top"/>
    </xf>
    <xf numFmtId="0" fontId="172" fillId="59" borderId="0"/>
    <xf numFmtId="41" fontId="15" fillId="0" borderId="0" applyFont="0" applyFill="0" applyBorder="0" applyAlignment="0" applyProtection="0"/>
    <xf numFmtId="14" fontId="80" fillId="0" borderId="0">
      <alignment horizontal="center" wrapText="1"/>
      <protection locked="0"/>
    </xf>
    <xf numFmtId="234" fontId="15" fillId="0" borderId="0" applyFont="0" applyFill="0" applyBorder="0" applyAlignment="0" applyProtection="0"/>
    <xf numFmtId="276"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42" fillId="0" borderId="31" applyNumberFormat="0" applyBorder="0"/>
    <xf numFmtId="0" fontId="15" fillId="0" borderId="0"/>
    <xf numFmtId="277" fontId="124" fillId="0" borderId="0">
      <protection locked="0"/>
    </xf>
    <xf numFmtId="235" fontId="90" fillId="0" borderId="0" applyFill="0" applyBorder="0" applyAlignment="0"/>
    <xf numFmtId="232" fontId="90" fillId="0" borderId="0" applyFill="0" applyBorder="0" applyAlignment="0"/>
    <xf numFmtId="235" fontId="90" fillId="0" borderId="0" applyFill="0" applyBorder="0" applyAlignment="0"/>
    <xf numFmtId="236" fontId="90" fillId="0" borderId="0" applyFill="0" applyBorder="0" applyAlignment="0"/>
    <xf numFmtId="232" fontId="90" fillId="0" borderId="0" applyFill="0" applyBorder="0" applyAlignment="0"/>
    <xf numFmtId="0" fontId="173" fillId="0" borderId="0"/>
    <xf numFmtId="0" fontId="42" fillId="0" borderId="0" applyNumberFormat="0" applyFont="0" applyFill="0" applyBorder="0" applyAlignment="0" applyProtection="0">
      <alignment horizontal="left"/>
    </xf>
    <xf numFmtId="0" fontId="174" fillId="0" borderId="23">
      <alignment horizontal="center"/>
    </xf>
    <xf numFmtId="1" fontId="15" fillId="0" borderId="32" applyNumberFormat="0" applyFill="0" applyAlignment="0" applyProtection="0">
      <alignment horizontal="center" vertical="center"/>
    </xf>
    <xf numFmtId="0" fontId="175" fillId="67" borderId="0" applyNumberFormat="0" applyFont="0" applyBorder="0" applyAlignment="0">
      <alignment horizontal="center"/>
    </xf>
    <xf numFmtId="0" fontId="14" fillId="0" borderId="0">
      <alignment horizontal="center"/>
    </xf>
    <xf numFmtId="14" fontId="176" fillId="0" borderId="0" applyNumberFormat="0" applyFill="0" applyBorder="0" applyAlignment="0" applyProtection="0">
      <alignment horizontal="left"/>
    </xf>
    <xf numFmtId="278" fontId="177" fillId="0" borderId="0" applyFont="0" applyFill="0" applyBorder="0" applyAlignment="0" applyProtection="0"/>
    <xf numFmtId="0" fontId="151" fillId="0" borderId="0" applyNumberFormat="0" applyFill="0" applyBorder="0" applyAlignment="0" applyProtection="0">
      <alignment vertical="top"/>
      <protection locked="0"/>
    </xf>
    <xf numFmtId="0" fontId="14" fillId="0" borderId="0"/>
    <xf numFmtId="0" fontId="178" fillId="0" borderId="0" applyNumberFormat="0" applyFill="0" applyBorder="0" applyAlignment="0" applyProtection="0"/>
    <xf numFmtId="219" fontId="45" fillId="0" borderId="0" applyFont="0" applyFill="0" applyBorder="0" applyAlignment="0" applyProtection="0"/>
    <xf numFmtId="0" fontId="6" fillId="0" borderId="0" applyNumberFormat="0" applyFill="0" applyBorder="0" applyAlignment="0" applyProtection="0"/>
    <xf numFmtId="218" fontId="45" fillId="0" borderId="0" applyFont="0" applyFill="0" applyBorder="0" applyAlignment="0" applyProtection="0"/>
    <xf numFmtId="0" fontId="29" fillId="0" borderId="30" applyNumberFormat="0" applyBorder="0" applyAlignment="0">
      <alignment vertical="top"/>
    </xf>
    <xf numFmtId="4" fontId="179" fillId="68" borderId="33" applyNumberFormat="0" applyProtection="0">
      <alignment vertical="center"/>
    </xf>
    <xf numFmtId="4" fontId="180" fillId="68" borderId="33" applyNumberFormat="0" applyProtection="0">
      <alignment vertical="center"/>
    </xf>
    <xf numFmtId="4" fontId="181" fillId="68" borderId="33" applyNumberFormat="0" applyProtection="0">
      <alignment horizontal="left" vertical="center" indent="1"/>
    </xf>
    <xf numFmtId="4" fontId="181" fillId="69" borderId="0" applyNumberFormat="0" applyProtection="0">
      <alignment horizontal="left" vertical="center" indent="1"/>
    </xf>
    <xf numFmtId="4" fontId="181" fillId="65" borderId="33" applyNumberFormat="0" applyProtection="0">
      <alignment horizontal="right" vertical="center"/>
    </xf>
    <xf numFmtId="4" fontId="181" fillId="70" borderId="33" applyNumberFormat="0" applyProtection="0">
      <alignment horizontal="right" vertical="center"/>
    </xf>
    <xf numFmtId="4" fontId="181" fillId="71" borderId="33" applyNumberFormat="0" applyProtection="0">
      <alignment horizontal="right" vertical="center"/>
    </xf>
    <xf numFmtId="4" fontId="181" fillId="72" borderId="33" applyNumberFormat="0" applyProtection="0">
      <alignment horizontal="right" vertical="center"/>
    </xf>
    <xf numFmtId="4" fontId="181" fillId="73" borderId="33" applyNumberFormat="0" applyProtection="0">
      <alignment horizontal="right" vertical="center"/>
    </xf>
    <xf numFmtId="4" fontId="181" fillId="74" borderId="33" applyNumberFormat="0" applyProtection="0">
      <alignment horizontal="right" vertical="center"/>
    </xf>
    <xf numFmtId="4" fontId="181" fillId="75" borderId="33" applyNumberFormat="0" applyProtection="0">
      <alignment horizontal="right" vertical="center"/>
    </xf>
    <xf numFmtId="4" fontId="181" fillId="76" borderId="33" applyNumberFormat="0" applyProtection="0">
      <alignment horizontal="right" vertical="center"/>
    </xf>
    <xf numFmtId="4" fontId="181" fillId="77" borderId="33" applyNumberFormat="0" applyProtection="0">
      <alignment horizontal="right" vertical="center"/>
    </xf>
    <xf numFmtId="4" fontId="179" fillId="78" borderId="34" applyNumberFormat="0" applyProtection="0">
      <alignment horizontal="left" vertical="center" indent="1"/>
    </xf>
    <xf numFmtId="4" fontId="179" fillId="79" borderId="0" applyNumberFormat="0" applyProtection="0">
      <alignment horizontal="left" vertical="center" indent="1"/>
    </xf>
    <xf numFmtId="4" fontId="179" fillId="69" borderId="0" applyNumberFormat="0" applyProtection="0">
      <alignment horizontal="left" vertical="center" indent="1"/>
    </xf>
    <xf numFmtId="4" fontId="181" fillId="79" borderId="33" applyNumberFormat="0" applyProtection="0">
      <alignment horizontal="right" vertical="center"/>
    </xf>
    <xf numFmtId="4" fontId="43" fillId="79" borderId="0" applyNumberFormat="0" applyProtection="0">
      <alignment horizontal="left" vertical="center" indent="1"/>
    </xf>
    <xf numFmtId="4" fontId="43" fillId="69" borderId="0" applyNumberFormat="0" applyProtection="0">
      <alignment horizontal="left" vertical="center" indent="1"/>
    </xf>
    <xf numFmtId="4" fontId="181" fillId="56" borderId="33" applyNumberFormat="0" applyProtection="0">
      <alignment vertical="center"/>
    </xf>
    <xf numFmtId="4" fontId="182" fillId="56" borderId="33" applyNumberFormat="0" applyProtection="0">
      <alignment vertical="center"/>
    </xf>
    <xf numFmtId="4" fontId="179" fillId="79" borderId="35" applyNumberFormat="0" applyProtection="0">
      <alignment horizontal="left" vertical="center" indent="1"/>
    </xf>
    <xf numFmtId="4" fontId="181" fillId="56" borderId="33" applyNumberFormat="0" applyProtection="0">
      <alignment horizontal="right" vertical="center"/>
    </xf>
    <xf numFmtId="4" fontId="182" fillId="56" borderId="33" applyNumberFormat="0" applyProtection="0">
      <alignment horizontal="right" vertical="center"/>
    </xf>
    <xf numFmtId="4" fontId="179" fillId="79" borderId="33" applyNumberFormat="0" applyProtection="0">
      <alignment horizontal="left" vertical="center" indent="1"/>
    </xf>
    <xf numFmtId="4" fontId="183" fillId="58" borderId="35" applyNumberFormat="0" applyProtection="0">
      <alignment horizontal="left" vertical="center" indent="1"/>
    </xf>
    <xf numFmtId="4" fontId="184" fillId="56" borderId="33" applyNumberFormat="0" applyProtection="0">
      <alignment horizontal="right" vertical="center"/>
    </xf>
    <xf numFmtId="0" fontId="44" fillId="0" borderId="0">
      <alignment vertical="center"/>
    </xf>
    <xf numFmtId="279" fontId="185" fillId="0" borderId="0" applyFont="0" applyFill="0" applyBorder="0" applyAlignment="0" applyProtection="0"/>
    <xf numFmtId="0" fontId="175" fillId="1" borderId="22" applyNumberFormat="0" applyFont="0" applyAlignment="0">
      <alignment horizontal="center"/>
    </xf>
    <xf numFmtId="0" fontId="186" fillId="0" borderId="0" applyNumberFormat="0" applyFill="0" applyBorder="0" applyAlignment="0" applyProtection="0"/>
    <xf numFmtId="0" fontId="187" fillId="0" borderId="0" applyNumberFormat="0" applyFill="0" applyBorder="0" applyAlignment="0" applyProtection="0">
      <alignment vertical="top"/>
      <protection locked="0"/>
    </xf>
    <xf numFmtId="4" fontId="15" fillId="0" borderId="32" applyBorder="0"/>
    <xf numFmtId="2" fontId="15" fillId="0" borderId="32"/>
    <xf numFmtId="4" fontId="23" fillId="0" borderId="32" applyBorder="0"/>
    <xf numFmtId="3" fontId="23" fillId="0" borderId="0"/>
    <xf numFmtId="0" fontId="188" fillId="0" borderId="0" applyNumberFormat="0" applyFill="0" applyBorder="0" applyAlignment="0">
      <alignment horizontal="center"/>
    </xf>
    <xf numFmtId="0" fontId="51" fillId="80" borderId="36" applyNumberFormat="0" applyFont="0" applyFill="0" applyBorder="0" applyAlignment="0" applyProtection="0">
      <alignment horizontal="left" vertical="center" wrapText="1"/>
    </xf>
    <xf numFmtId="0" fontId="42" fillId="0" borderId="0"/>
    <xf numFmtId="0" fontId="29" fillId="0" borderId="30" applyNumberFormat="0" applyAlignment="0"/>
    <xf numFmtId="0" fontId="29" fillId="2" borderId="30" applyNumberFormat="0"/>
    <xf numFmtId="1" fontId="15" fillId="0" borderId="0"/>
    <xf numFmtId="175" fontId="189" fillId="0" borderId="0" applyNumberFormat="0" applyBorder="0" applyAlignment="0">
      <alignment horizontal="centerContinuous"/>
    </xf>
    <xf numFmtId="0" fontId="30" fillId="0" borderId="0"/>
    <xf numFmtId="189" fontId="23" fillId="0" borderId="0" applyFont="0" applyFill="0" applyBorder="0" applyAlignment="0" applyProtection="0"/>
    <xf numFmtId="41" fontId="45" fillId="0" borderId="0" applyFont="0" applyFill="0" applyBorder="0" applyAlignment="0" applyProtection="0"/>
    <xf numFmtId="216" fontId="45" fillId="0" borderId="0" applyFont="0" applyFill="0" applyBorder="0" applyAlignment="0" applyProtection="0"/>
    <xf numFmtId="189" fontId="45" fillId="0" borderId="0" applyFont="0" applyFill="0" applyBorder="0" applyAlignment="0" applyProtection="0"/>
    <xf numFmtId="41"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214" fontId="45" fillId="0" borderId="0" applyFont="0" applyFill="0" applyBorder="0" applyAlignment="0" applyProtection="0"/>
    <xf numFmtId="214" fontId="45" fillId="0" borderId="0" applyFont="0" applyFill="0" applyBorder="0" applyAlignment="0" applyProtection="0"/>
    <xf numFmtId="189" fontId="45" fillId="0" borderId="0" applyFont="0" applyFill="0" applyBorder="0" applyAlignment="0" applyProtection="0"/>
    <xf numFmtId="175" fontId="19" fillId="0" borderId="0" applyFont="0" applyFill="0" applyBorder="0" applyAlignment="0" applyProtection="0"/>
    <xf numFmtId="214" fontId="45" fillId="0" borderId="0" applyFont="0" applyFill="0" applyBorder="0" applyAlignment="0" applyProtection="0"/>
    <xf numFmtId="189" fontId="45" fillId="0" borderId="0" applyFont="0" applyFill="0" applyBorder="0" applyAlignment="0" applyProtection="0"/>
    <xf numFmtId="219" fontId="45"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88" fontId="45" fillId="0" borderId="0" applyFont="0" applyFill="0" applyBorder="0" applyAlignment="0" applyProtection="0"/>
    <xf numFmtId="214" fontId="45" fillId="0" borderId="0" applyFont="0" applyFill="0" applyBorder="0" applyAlignment="0" applyProtection="0"/>
    <xf numFmtId="189" fontId="45" fillId="0" borderId="0" applyFont="0" applyFill="0" applyBorder="0" applyAlignment="0" applyProtection="0"/>
    <xf numFmtId="214" fontId="45" fillId="0" borderId="0" applyFont="0" applyFill="0" applyBorder="0" applyAlignment="0" applyProtection="0"/>
    <xf numFmtId="215" fontId="45" fillId="0" borderId="0" applyFont="0" applyFill="0" applyBorder="0" applyAlignment="0" applyProtection="0"/>
    <xf numFmtId="188" fontId="45" fillId="0" borderId="0" applyFont="0" applyFill="0" applyBorder="0" applyAlignment="0" applyProtection="0"/>
    <xf numFmtId="214" fontId="45" fillId="0" borderId="0" applyFont="0" applyFill="0" applyBorder="0" applyAlignment="0" applyProtection="0"/>
    <xf numFmtId="188" fontId="45" fillId="0" borderId="0" applyFont="0" applyFill="0" applyBorder="0" applyAlignment="0" applyProtection="0"/>
    <xf numFmtId="189" fontId="23" fillId="0" borderId="0" applyFont="0" applyFill="0" applyBorder="0" applyAlignment="0" applyProtection="0"/>
    <xf numFmtId="41" fontId="45" fillId="0" borderId="0" applyFont="0" applyFill="0" applyBorder="0" applyAlignment="0" applyProtection="0"/>
    <xf numFmtId="216" fontId="45" fillId="0" borderId="0" applyFont="0" applyFill="0" applyBorder="0" applyAlignment="0" applyProtection="0"/>
    <xf numFmtId="189" fontId="45" fillId="0" borderId="0" applyFont="0" applyFill="0" applyBorder="0" applyAlignment="0" applyProtection="0"/>
    <xf numFmtId="41"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214" fontId="45" fillId="0" borderId="0" applyFont="0" applyFill="0" applyBorder="0" applyAlignment="0" applyProtection="0"/>
    <xf numFmtId="214" fontId="45" fillId="0" borderId="0" applyFont="0" applyFill="0" applyBorder="0" applyAlignment="0" applyProtection="0"/>
    <xf numFmtId="214" fontId="45" fillId="0" borderId="0" applyFont="0" applyFill="0" applyBorder="0" applyAlignment="0" applyProtection="0"/>
    <xf numFmtId="189" fontId="45" fillId="0" borderId="0" applyFont="0" applyFill="0" applyBorder="0" applyAlignment="0" applyProtection="0"/>
    <xf numFmtId="214" fontId="45" fillId="0" borderId="0" applyFont="0" applyFill="0" applyBorder="0" applyAlignment="0" applyProtection="0"/>
    <xf numFmtId="189" fontId="45" fillId="0" borderId="0" applyFont="0" applyFill="0" applyBorder="0" applyAlignment="0" applyProtection="0"/>
    <xf numFmtId="219" fontId="45" fillId="0" borderId="0" applyFont="0" applyFill="0" applyBorder="0" applyAlignment="0" applyProtection="0"/>
    <xf numFmtId="169" fontId="45" fillId="0" borderId="0" applyFont="0" applyFill="0" applyBorder="0" applyAlignment="0" applyProtection="0"/>
    <xf numFmtId="168" fontId="45" fillId="0" borderId="0" applyFont="0" applyFill="0" applyBorder="0" applyAlignment="0" applyProtection="0"/>
    <xf numFmtId="190" fontId="45" fillId="0" borderId="0" applyFont="0" applyFill="0" applyBorder="0" applyAlignment="0" applyProtection="0"/>
    <xf numFmtId="191" fontId="23" fillId="0" borderId="0" applyFont="0" applyFill="0" applyBorder="0" applyAlignment="0" applyProtection="0"/>
    <xf numFmtId="192" fontId="45" fillId="0" borderId="0" applyFont="0" applyFill="0" applyBorder="0" applyAlignment="0" applyProtection="0"/>
    <xf numFmtId="189" fontId="45" fillId="0" borderId="0" applyFont="0" applyFill="0" applyBorder="0" applyAlignment="0" applyProtection="0"/>
    <xf numFmtId="168" fontId="45" fillId="0" borderId="0" applyFont="0" applyFill="0" applyBorder="0" applyAlignment="0" applyProtection="0"/>
    <xf numFmtId="191" fontId="45" fillId="0" borderId="0" applyFont="0" applyFill="0" applyBorder="0" applyAlignment="0" applyProtection="0"/>
    <xf numFmtId="208" fontId="50" fillId="0" borderId="0" applyFont="0" applyFill="0" applyBorder="0" applyAlignment="0" applyProtection="0"/>
    <xf numFmtId="210" fontId="45" fillId="0" borderId="0" applyFont="0" applyFill="0" applyBorder="0" applyAlignment="0" applyProtection="0"/>
    <xf numFmtId="191" fontId="45" fillId="0" borderId="0" applyFont="0" applyFill="0" applyBorder="0" applyAlignment="0" applyProtection="0"/>
    <xf numFmtId="212" fontId="45" fillId="0" borderId="0" applyFont="0" applyFill="0" applyBorder="0" applyAlignment="0" applyProtection="0"/>
    <xf numFmtId="168" fontId="45" fillId="0" borderId="0" applyFont="0" applyFill="0" applyBorder="0" applyAlignment="0" applyProtection="0"/>
    <xf numFmtId="174" fontId="24" fillId="0" borderId="0" applyFont="0" applyFill="0" applyBorder="0" applyAlignment="0" applyProtection="0"/>
    <xf numFmtId="218" fontId="45" fillId="0" borderId="0" applyFont="0" applyFill="0" applyBorder="0" applyAlignment="0" applyProtection="0"/>
    <xf numFmtId="41" fontId="47" fillId="0" borderId="0" applyFont="0" applyFill="0" applyBorder="0" applyAlignment="0" applyProtection="0"/>
    <xf numFmtId="214" fontId="45" fillId="0" borderId="0" applyFont="0" applyFill="0" applyBorder="0" applyAlignment="0" applyProtection="0"/>
    <xf numFmtId="193" fontId="48" fillId="0" borderId="0" applyFont="0" applyFill="0" applyBorder="0" applyAlignment="0" applyProtection="0"/>
    <xf numFmtId="195" fontId="45" fillId="0" borderId="0" applyFont="0" applyFill="0" applyBorder="0" applyAlignment="0" applyProtection="0"/>
    <xf numFmtId="195" fontId="45" fillId="0" borderId="0" applyFont="0" applyFill="0" applyBorder="0" applyAlignment="0" applyProtection="0"/>
    <xf numFmtId="195" fontId="45" fillId="0" borderId="0" applyFont="0" applyFill="0" applyBorder="0" applyAlignment="0" applyProtection="0"/>
    <xf numFmtId="193" fontId="48"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193" fontId="48" fillId="0" borderId="0" applyFont="0" applyFill="0" applyBorder="0" applyAlignment="0" applyProtection="0"/>
    <xf numFmtId="178" fontId="42" fillId="0" borderId="0" applyFont="0" applyFill="0" applyBorder="0" applyAlignment="0" applyProtection="0"/>
    <xf numFmtId="209" fontId="45" fillId="0" borderId="0" applyFont="0" applyFill="0" applyBorder="0" applyAlignment="0" applyProtection="0"/>
    <xf numFmtId="215" fontId="45" fillId="0" borderId="0" applyFont="0" applyFill="0" applyBorder="0" applyAlignment="0" applyProtection="0"/>
    <xf numFmtId="191" fontId="23" fillId="0" borderId="0" applyFont="0" applyFill="0" applyBorder="0" applyAlignment="0" applyProtection="0"/>
    <xf numFmtId="191" fontId="45" fillId="0" borderId="0" applyFont="0" applyFill="0" applyBorder="0" applyAlignment="0" applyProtection="0"/>
    <xf numFmtId="211" fontId="45"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213" fontId="15" fillId="0" borderId="0" applyFont="0" applyFill="0" applyBorder="0" applyAlignment="0" applyProtection="0"/>
    <xf numFmtId="173" fontId="42" fillId="0" borderId="0" applyFont="0" applyFill="0" applyBorder="0" applyAlignment="0" applyProtection="0"/>
    <xf numFmtId="173" fontId="49" fillId="0" borderId="0" applyFont="0" applyFill="0" applyBorder="0" applyAlignment="0" applyProtection="0"/>
    <xf numFmtId="211" fontId="45" fillId="0" borderId="0" applyFont="0" applyFill="0" applyBorder="0" applyAlignment="0" applyProtection="0"/>
    <xf numFmtId="41" fontId="47" fillId="0" borderId="0" applyFont="0" applyFill="0" applyBorder="0" applyAlignment="0" applyProtection="0"/>
    <xf numFmtId="214" fontId="45" fillId="0" borderId="0" applyFont="0" applyFill="0" applyBorder="0" applyAlignment="0" applyProtection="0"/>
    <xf numFmtId="211" fontId="45" fillId="0" borderId="0" applyFont="0" applyFill="0" applyBorder="0" applyAlignment="0" applyProtection="0"/>
    <xf numFmtId="178" fontId="42" fillId="0" borderId="0" applyFont="0" applyFill="0" applyBorder="0" applyAlignment="0" applyProtection="0"/>
    <xf numFmtId="0" fontId="15" fillId="0" borderId="37" applyNumberFormat="0" applyFont="0" applyFill="0" applyAlignment="0" applyProtection="0"/>
    <xf numFmtId="0" fontId="14" fillId="0" borderId="0"/>
    <xf numFmtId="188" fontId="45" fillId="0" borderId="0" applyFont="0" applyFill="0" applyBorder="0" applyAlignment="0" applyProtection="0"/>
    <xf numFmtId="0" fontId="190" fillId="0" borderId="0"/>
    <xf numFmtId="0" fontId="159" fillId="0" borderId="0"/>
    <xf numFmtId="40" fontId="191" fillId="0" borderId="0" applyBorder="0">
      <alignment horizontal="right"/>
    </xf>
    <xf numFmtId="0" fontId="192" fillId="0" borderId="0"/>
    <xf numFmtId="280" fontId="49"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81" fontId="74" fillId="0" borderId="24">
      <alignment horizontal="right" vertical="center"/>
    </xf>
    <xf numFmtId="281" fontId="74" fillId="0" borderId="24">
      <alignment horizontal="right" vertical="center"/>
    </xf>
    <xf numFmtId="280" fontId="49" fillId="0" borderId="24">
      <alignment horizontal="right" vertical="center"/>
    </xf>
    <xf numFmtId="280" fontId="49" fillId="0" borderId="24">
      <alignment horizontal="right" vertical="center"/>
    </xf>
    <xf numFmtId="282" fontId="24" fillId="0" borderId="24">
      <alignment horizontal="right" vertical="center"/>
    </xf>
    <xf numFmtId="280" fontId="49" fillId="0" borderId="24">
      <alignment horizontal="right" vertical="center"/>
    </xf>
    <xf numFmtId="280" fontId="49" fillId="0" borderId="24">
      <alignment horizontal="right" vertical="center"/>
    </xf>
    <xf numFmtId="282" fontId="24" fillId="0" borderId="24">
      <alignment horizontal="right" vertical="center"/>
    </xf>
    <xf numFmtId="282" fontId="24"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173" fontId="23" fillId="0" borderId="24">
      <alignment horizontal="right" vertical="center"/>
    </xf>
    <xf numFmtId="283" fontId="74" fillId="0" borderId="24">
      <alignment horizontal="right" vertical="center"/>
    </xf>
    <xf numFmtId="283" fontId="74" fillId="0" borderId="24">
      <alignment horizontal="right" vertical="center"/>
    </xf>
    <xf numFmtId="282" fontId="6" fillId="0" borderId="24">
      <alignment horizontal="right" vertical="center"/>
    </xf>
    <xf numFmtId="235" fontId="14" fillId="0" borderId="24">
      <alignment horizontal="right" vertical="center"/>
    </xf>
    <xf numFmtId="280" fontId="49" fillId="0" borderId="24">
      <alignment horizontal="right" vertical="center"/>
    </xf>
    <xf numFmtId="280" fontId="49" fillId="0" borderId="24">
      <alignment horizontal="right" vertical="center"/>
    </xf>
    <xf numFmtId="235" fontId="14" fillId="0" borderId="24">
      <alignment horizontal="right" vertical="center"/>
    </xf>
    <xf numFmtId="235" fontId="14" fillId="0" borderId="24">
      <alignment horizontal="right" vertical="center"/>
    </xf>
    <xf numFmtId="235" fontId="14" fillId="0" borderId="24">
      <alignment horizontal="right" vertical="center"/>
    </xf>
    <xf numFmtId="235" fontId="14" fillId="0" borderId="24">
      <alignment horizontal="right" vertical="center"/>
    </xf>
    <xf numFmtId="235" fontId="14" fillId="0" borderId="24">
      <alignment horizontal="right" vertical="center"/>
    </xf>
    <xf numFmtId="235" fontId="14" fillId="0" borderId="24">
      <alignment horizontal="right" vertical="center"/>
    </xf>
    <xf numFmtId="235" fontId="14" fillId="0" borderId="24">
      <alignment horizontal="right" vertical="center"/>
    </xf>
    <xf numFmtId="282" fontId="24" fillId="0" borderId="24">
      <alignment horizontal="right" vertical="center"/>
    </xf>
    <xf numFmtId="235" fontId="14" fillId="0" borderId="24">
      <alignment horizontal="right" vertical="center"/>
    </xf>
    <xf numFmtId="224" fontId="11" fillId="0" borderId="24">
      <alignment horizontal="right" vertical="center"/>
    </xf>
    <xf numFmtId="280" fontId="49" fillId="0" borderId="24">
      <alignment horizontal="right" vertical="center"/>
    </xf>
    <xf numFmtId="280" fontId="49" fillId="0" borderId="24">
      <alignment horizontal="right" vertical="center"/>
    </xf>
    <xf numFmtId="235" fontId="14" fillId="0" borderId="24">
      <alignment horizontal="right" vertical="center"/>
    </xf>
    <xf numFmtId="235" fontId="14" fillId="0" borderId="24">
      <alignment horizontal="right" vertical="center"/>
    </xf>
    <xf numFmtId="284" fontId="15" fillId="0" borderId="24">
      <alignment horizontal="right" vertical="center"/>
    </xf>
    <xf numFmtId="284" fontId="15" fillId="0" borderId="24">
      <alignment horizontal="right" vertical="center"/>
    </xf>
    <xf numFmtId="284" fontId="15" fillId="0" borderId="24">
      <alignment horizontal="right" vertical="center"/>
    </xf>
    <xf numFmtId="284" fontId="15" fillId="0" borderId="24">
      <alignment horizontal="right" vertical="center"/>
    </xf>
    <xf numFmtId="285" fontId="49" fillId="0" borderId="24">
      <alignment horizontal="right" vertical="center"/>
    </xf>
    <xf numFmtId="285" fontId="49" fillId="0" borderId="24">
      <alignment horizontal="right" vertical="center"/>
    </xf>
    <xf numFmtId="282" fontId="24" fillId="0" borderId="24">
      <alignment horizontal="right" vertical="center"/>
    </xf>
    <xf numFmtId="281" fontId="74" fillId="0" borderId="24">
      <alignment horizontal="right" vertical="center"/>
    </xf>
    <xf numFmtId="281" fontId="74" fillId="0" borderId="24">
      <alignment horizontal="right" vertical="center"/>
    </xf>
    <xf numFmtId="280" fontId="49" fillId="0" borderId="24">
      <alignment horizontal="right" vertical="center"/>
    </xf>
    <xf numFmtId="280" fontId="49" fillId="0" borderId="24">
      <alignment horizontal="right" vertical="center"/>
    </xf>
    <xf numFmtId="282" fontId="24" fillId="0" borderId="24">
      <alignment horizontal="right" vertical="center"/>
    </xf>
    <xf numFmtId="284" fontId="15" fillId="0" borderId="24">
      <alignment horizontal="right" vertical="center"/>
    </xf>
    <xf numFmtId="284" fontId="15" fillId="0" borderId="24">
      <alignment horizontal="right" vertical="center"/>
    </xf>
    <xf numFmtId="285" fontId="49" fillId="0" borderId="24">
      <alignment horizontal="right" vertical="center"/>
    </xf>
    <xf numFmtId="285" fontId="49" fillId="0" borderId="24">
      <alignment horizontal="right" vertical="center"/>
    </xf>
    <xf numFmtId="286" fontId="15" fillId="0" borderId="24">
      <alignment horizontal="right" vertical="center"/>
    </xf>
    <xf numFmtId="286" fontId="15" fillId="0" borderId="24">
      <alignment horizontal="right" vertical="center"/>
    </xf>
    <xf numFmtId="282" fontId="24" fillId="0" borderId="24">
      <alignment horizontal="right" vertical="center"/>
    </xf>
    <xf numFmtId="280" fontId="49" fillId="0" borderId="24">
      <alignment horizontal="right" vertical="center"/>
    </xf>
    <xf numFmtId="207" fontId="49" fillId="0" borderId="24">
      <alignment horizontal="right" vertical="center"/>
    </xf>
    <xf numFmtId="207" fontId="49" fillId="0" borderId="24">
      <alignment horizontal="right" vertical="center"/>
    </xf>
    <xf numFmtId="235" fontId="14" fillId="0" borderId="24">
      <alignment horizontal="right" vertical="center"/>
    </xf>
    <xf numFmtId="280" fontId="49" fillId="0" borderId="24">
      <alignment horizontal="right" vertical="center"/>
    </xf>
    <xf numFmtId="235" fontId="14" fillId="0" borderId="24">
      <alignment horizontal="right" vertical="center"/>
    </xf>
    <xf numFmtId="280" fontId="49" fillId="0" borderId="24">
      <alignment horizontal="right" vertical="center"/>
    </xf>
    <xf numFmtId="280" fontId="49" fillId="0" borderId="24">
      <alignment horizontal="right" vertical="center"/>
    </xf>
    <xf numFmtId="281" fontId="74" fillId="0" borderId="24">
      <alignment horizontal="right" vertical="center"/>
    </xf>
    <xf numFmtId="281" fontId="74" fillId="0" borderId="24">
      <alignment horizontal="right" vertical="center"/>
    </xf>
    <xf numFmtId="281" fontId="74" fillId="0" borderId="24">
      <alignment horizontal="right" vertical="center"/>
    </xf>
    <xf numFmtId="281" fontId="74"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35" fontId="14" fillId="0" borderId="24">
      <alignment horizontal="right" vertical="center"/>
    </xf>
    <xf numFmtId="235" fontId="14" fillId="0" borderId="24">
      <alignment horizontal="right" vertical="center"/>
    </xf>
    <xf numFmtId="282" fontId="6" fillId="0" borderId="24">
      <alignment horizontal="right" vertical="center"/>
    </xf>
    <xf numFmtId="280" fontId="49" fillId="0" borderId="24">
      <alignment horizontal="right" vertical="center"/>
    </xf>
    <xf numFmtId="207" fontId="49" fillId="0" borderId="24">
      <alignment horizontal="right" vertical="center"/>
    </xf>
    <xf numFmtId="207" fontId="49" fillId="0" borderId="24">
      <alignment horizontal="right" vertical="center"/>
    </xf>
    <xf numFmtId="207" fontId="49" fillId="0" borderId="24">
      <alignment horizontal="right" vertical="center"/>
    </xf>
    <xf numFmtId="207" fontId="49" fillId="0" borderId="24">
      <alignment horizontal="right" vertical="center"/>
    </xf>
    <xf numFmtId="207" fontId="49" fillId="0" borderId="24">
      <alignment horizontal="right" vertical="center"/>
    </xf>
    <xf numFmtId="207" fontId="49" fillId="0" borderId="24">
      <alignment horizontal="right" vertical="center"/>
    </xf>
    <xf numFmtId="207" fontId="49" fillId="0" borderId="24">
      <alignment horizontal="right" vertical="center"/>
    </xf>
    <xf numFmtId="207" fontId="49" fillId="0" borderId="24">
      <alignment horizontal="right" vertical="center"/>
    </xf>
    <xf numFmtId="285" fontId="49" fillId="0" borderId="24">
      <alignment horizontal="right" vertical="center"/>
    </xf>
    <xf numFmtId="285" fontId="49" fillId="0" borderId="24">
      <alignment horizontal="right" vertical="center"/>
    </xf>
    <xf numFmtId="287" fontId="24" fillId="0" borderId="24">
      <alignment horizontal="right" vertical="center"/>
    </xf>
    <xf numFmtId="287" fontId="24" fillId="0" borderId="24">
      <alignment horizontal="right" vertical="center"/>
    </xf>
    <xf numFmtId="288" fontId="6" fillId="0" borderId="24">
      <alignment horizontal="right" vertical="center"/>
    </xf>
    <xf numFmtId="282" fontId="24" fillId="0" borderId="24">
      <alignment horizontal="right" vertical="center"/>
    </xf>
    <xf numFmtId="289" fontId="193" fillId="2" borderId="38" applyFont="0" applyFill="0" applyBorder="0"/>
    <xf numFmtId="282" fontId="24" fillId="0" borderId="24">
      <alignment horizontal="right" vertical="center"/>
    </xf>
    <xf numFmtId="207" fontId="49" fillId="0" borderId="24">
      <alignment horizontal="right" vertical="center"/>
    </xf>
    <xf numFmtId="207" fontId="49"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81" fontId="74" fillId="0" borderId="24">
      <alignment horizontal="right" vertical="center"/>
    </xf>
    <xf numFmtId="281" fontId="74" fillId="0" borderId="24">
      <alignment horizontal="right" vertical="center"/>
    </xf>
    <xf numFmtId="224" fontId="11" fillId="0" borderId="24">
      <alignment horizontal="right" vertical="center"/>
    </xf>
    <xf numFmtId="282" fontId="24" fillId="0" borderId="24">
      <alignment horizontal="right" vertical="center"/>
    </xf>
    <xf numFmtId="290" fontId="24" fillId="0" borderId="24">
      <alignment horizontal="right" vertical="center"/>
    </xf>
    <xf numFmtId="290" fontId="24" fillId="0" borderId="24">
      <alignment horizontal="right" vertical="center"/>
    </xf>
    <xf numFmtId="285" fontId="49" fillId="0" borderId="24">
      <alignment horizontal="right" vertical="center"/>
    </xf>
    <xf numFmtId="285" fontId="49" fillId="0" borderId="24">
      <alignment horizontal="right" vertical="center"/>
    </xf>
    <xf numFmtId="280" fontId="49" fillId="0" borderId="24">
      <alignment horizontal="right" vertical="center"/>
    </xf>
    <xf numFmtId="280" fontId="49" fillId="0" borderId="24">
      <alignment horizontal="right" vertical="center"/>
    </xf>
    <xf numFmtId="285" fontId="49" fillId="0" borderId="24">
      <alignment horizontal="right" vertical="center"/>
    </xf>
    <xf numFmtId="285" fontId="49" fillId="0" borderId="24">
      <alignment horizontal="right" vertical="center"/>
    </xf>
    <xf numFmtId="285" fontId="49" fillId="0" borderId="24">
      <alignment horizontal="right" vertical="center"/>
    </xf>
    <xf numFmtId="285" fontId="49" fillId="0" borderId="24">
      <alignment horizontal="right" vertical="center"/>
    </xf>
    <xf numFmtId="290" fontId="24" fillId="0" borderId="24">
      <alignment horizontal="right" vertical="center"/>
    </xf>
    <xf numFmtId="224" fontId="11" fillId="0" borderId="24">
      <alignment horizontal="right" vertical="center"/>
    </xf>
    <xf numFmtId="207" fontId="49" fillId="0" borderId="24">
      <alignment horizontal="right" vertical="center"/>
    </xf>
    <xf numFmtId="207" fontId="49" fillId="0" borderId="24">
      <alignment horizontal="right" vertical="center"/>
    </xf>
    <xf numFmtId="285" fontId="49" fillId="0" borderId="24">
      <alignment horizontal="right" vertical="center"/>
    </xf>
    <xf numFmtId="285" fontId="49" fillId="0" borderId="24">
      <alignment horizontal="right" vertical="center"/>
    </xf>
    <xf numFmtId="291" fontId="45" fillId="0" borderId="24">
      <alignment horizontal="right" vertical="center"/>
    </xf>
    <xf numFmtId="285" fontId="49" fillId="0" borderId="24">
      <alignment horizontal="right" vertical="center"/>
    </xf>
    <xf numFmtId="285" fontId="49" fillId="0" borderId="24">
      <alignment horizontal="right" vertical="center"/>
    </xf>
    <xf numFmtId="289" fontId="193" fillId="2" borderId="38" applyFont="0" applyFill="0" applyBorder="0"/>
    <xf numFmtId="282" fontId="24" fillId="0" borderId="24">
      <alignment horizontal="right" vertical="center"/>
    </xf>
    <xf numFmtId="291" fontId="45" fillId="0" borderId="24">
      <alignment horizontal="right" vertical="center"/>
    </xf>
    <xf numFmtId="280" fontId="49" fillId="0" borderId="24">
      <alignment horizontal="right" vertical="center"/>
    </xf>
    <xf numFmtId="280" fontId="49" fillId="0" borderId="24">
      <alignment horizontal="right" vertical="center"/>
    </xf>
    <xf numFmtId="289" fontId="193" fillId="2" borderId="38" applyFont="0" applyFill="0" applyBorder="0"/>
    <xf numFmtId="289" fontId="193" fillId="2" borderId="38" applyFont="0" applyFill="0" applyBorder="0"/>
    <xf numFmtId="281" fontId="74" fillId="0" borderId="24">
      <alignment horizontal="right" vertical="center"/>
    </xf>
    <xf numFmtId="281" fontId="74" fillId="0" borderId="24">
      <alignment horizontal="right" vertical="center"/>
    </xf>
    <xf numFmtId="281" fontId="74" fillId="0" borderId="24">
      <alignment horizontal="right" vertical="center"/>
    </xf>
    <xf numFmtId="281" fontId="74" fillId="0" borderId="24">
      <alignment horizontal="right" vertical="center"/>
    </xf>
    <xf numFmtId="292" fontId="6" fillId="0" borderId="24">
      <alignment horizontal="right" vertical="center"/>
    </xf>
    <xf numFmtId="292" fontId="24" fillId="0" borderId="24">
      <alignment horizontal="right" vertical="center"/>
    </xf>
    <xf numFmtId="280" fontId="49" fillId="0" borderId="24">
      <alignment horizontal="right" vertical="center"/>
    </xf>
    <xf numFmtId="280" fontId="49" fillId="0" borderId="24">
      <alignment horizontal="right" vertical="center"/>
    </xf>
    <xf numFmtId="191" fontId="194" fillId="2" borderId="38" applyFont="0" applyFill="0" applyBorder="0"/>
    <xf numFmtId="180" fontId="149" fillId="2" borderId="38" applyFont="0" applyFill="0" applyBorder="0"/>
    <xf numFmtId="281" fontId="74" fillId="0" borderId="24">
      <alignment horizontal="right" vertical="center"/>
    </xf>
    <xf numFmtId="281" fontId="74" fillId="0" borderId="24">
      <alignment horizontal="right" vertical="center"/>
    </xf>
    <xf numFmtId="281" fontId="74" fillId="0" borderId="24">
      <alignment horizontal="right" vertical="center"/>
    </xf>
    <xf numFmtId="281" fontId="74" fillId="0" borderId="24">
      <alignment horizontal="right" vertical="center"/>
    </xf>
    <xf numFmtId="280" fontId="49" fillId="0" borderId="24">
      <alignment horizontal="right" vertical="center"/>
    </xf>
    <xf numFmtId="280" fontId="49" fillId="0" borderId="24">
      <alignment horizontal="right" vertical="center"/>
    </xf>
    <xf numFmtId="281" fontId="74" fillId="0" borderId="24">
      <alignment horizontal="right" vertical="center"/>
    </xf>
    <xf numFmtId="281" fontId="74"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07" fontId="49" fillId="0" borderId="24">
      <alignment horizontal="right" vertical="center"/>
    </xf>
    <xf numFmtId="207" fontId="49" fillId="0" borderId="24">
      <alignment horizontal="right" vertical="center"/>
    </xf>
    <xf numFmtId="207" fontId="49" fillId="0" borderId="24">
      <alignment horizontal="right" vertical="center"/>
    </xf>
    <xf numFmtId="207" fontId="49" fillId="0" borderId="24">
      <alignment horizontal="right" vertical="center"/>
    </xf>
    <xf numFmtId="280" fontId="49" fillId="0" borderId="24">
      <alignment horizontal="right" vertical="center"/>
    </xf>
    <xf numFmtId="280" fontId="49" fillId="0" borderId="24">
      <alignment horizontal="right" vertical="center"/>
    </xf>
    <xf numFmtId="191" fontId="81" fillId="2" borderId="38" applyFont="0" applyFill="0" applyBorder="0"/>
    <xf numFmtId="280" fontId="49"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83" fontId="74" fillId="0" borderId="24">
      <alignment horizontal="right" vertical="center"/>
    </xf>
    <xf numFmtId="283" fontId="74" fillId="0" borderId="24">
      <alignment horizontal="right" vertical="center"/>
    </xf>
    <xf numFmtId="283" fontId="74" fillId="0" borderId="24">
      <alignment horizontal="right" vertical="center"/>
    </xf>
    <xf numFmtId="283" fontId="74" fillId="0" borderId="24">
      <alignment horizontal="right" vertical="center"/>
    </xf>
    <xf numFmtId="282" fontId="24" fillId="0" borderId="24">
      <alignment horizontal="right" vertical="center"/>
    </xf>
    <xf numFmtId="207" fontId="49" fillId="0" borderId="24">
      <alignment horizontal="right" vertical="center"/>
    </xf>
    <xf numFmtId="207" fontId="49" fillId="0" borderId="24">
      <alignment horizontal="right" vertical="center"/>
    </xf>
    <xf numFmtId="282" fontId="24" fillId="0" borderId="24">
      <alignment horizontal="right" vertical="center"/>
    </xf>
    <xf numFmtId="207" fontId="49" fillId="0" borderId="24">
      <alignment horizontal="right" vertical="center"/>
    </xf>
    <xf numFmtId="207" fontId="49" fillId="0" borderId="24">
      <alignment horizontal="right" vertical="center"/>
    </xf>
    <xf numFmtId="235" fontId="14" fillId="0" borderId="24">
      <alignment horizontal="right" vertical="center"/>
    </xf>
    <xf numFmtId="235" fontId="14" fillId="0" borderId="24">
      <alignment horizontal="right" vertical="center"/>
    </xf>
    <xf numFmtId="207" fontId="49" fillId="0" borderId="24">
      <alignment horizontal="right" vertical="center"/>
    </xf>
    <xf numFmtId="207" fontId="49"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82" fontId="24" fillId="0" borderId="24">
      <alignment horizontal="right" vertical="center"/>
    </xf>
    <xf numFmtId="280" fontId="49" fillId="0" borderId="24">
      <alignment horizontal="right" vertical="center"/>
    </xf>
    <xf numFmtId="280" fontId="49" fillId="0" borderId="24">
      <alignment horizontal="right" vertical="center"/>
    </xf>
    <xf numFmtId="207" fontId="49" fillId="0" borderId="24">
      <alignment horizontal="right" vertical="center"/>
    </xf>
    <xf numFmtId="207" fontId="49"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173" fontId="24" fillId="0" borderId="24">
      <alignment horizontal="right" vertical="center"/>
    </xf>
    <xf numFmtId="282" fontId="24" fillId="0" borderId="24">
      <alignment horizontal="right" vertical="center"/>
    </xf>
    <xf numFmtId="280" fontId="49" fillId="0" borderId="24">
      <alignment horizontal="right" vertical="center"/>
    </xf>
    <xf numFmtId="280" fontId="49" fillId="0" borderId="24">
      <alignment horizontal="right" vertical="center"/>
    </xf>
    <xf numFmtId="282" fontId="24" fillId="0" borderId="24">
      <alignment horizontal="right" vertical="center"/>
    </xf>
    <xf numFmtId="282" fontId="24"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80" fontId="49" fillId="0" borderId="24">
      <alignment horizontal="right" vertical="center"/>
    </xf>
    <xf numFmtId="235" fontId="14" fillId="0" borderId="24">
      <alignment horizontal="right" vertical="center"/>
    </xf>
    <xf numFmtId="235" fontId="14" fillId="0" borderId="24">
      <alignment horizontal="right" vertical="center"/>
    </xf>
    <xf numFmtId="235" fontId="14" fillId="0" borderId="24">
      <alignment horizontal="right" vertical="center"/>
    </xf>
    <xf numFmtId="235" fontId="14" fillId="0" borderId="24">
      <alignment horizontal="right" vertical="center"/>
    </xf>
    <xf numFmtId="280" fontId="49" fillId="0" borderId="24">
      <alignment horizontal="right" vertical="center"/>
    </xf>
    <xf numFmtId="280" fontId="49" fillId="0" borderId="24">
      <alignment horizontal="right" vertical="center"/>
    </xf>
    <xf numFmtId="290" fontId="24" fillId="0" borderId="24">
      <alignment horizontal="right" vertical="center"/>
    </xf>
    <xf numFmtId="207" fontId="49" fillId="0" borderId="24">
      <alignment horizontal="right" vertical="center"/>
    </xf>
    <xf numFmtId="207" fontId="49" fillId="0" borderId="24">
      <alignment horizontal="right" vertical="center"/>
    </xf>
    <xf numFmtId="293" fontId="195" fillId="0" borderId="24">
      <alignment horizontal="right" vertical="center"/>
    </xf>
    <xf numFmtId="293" fontId="195" fillId="0" borderId="24">
      <alignment horizontal="right" vertical="center"/>
    </xf>
    <xf numFmtId="3" fontId="196" fillId="81" borderId="2" applyFill="0" applyAlignment="0" applyProtection="0">
      <alignment horizontal="justify" vertical="center"/>
    </xf>
    <xf numFmtId="237" fontId="110" fillId="0" borderId="3">
      <protection hidden="1"/>
    </xf>
    <xf numFmtId="0" fontId="197" fillId="0" borderId="0">
      <alignment horizontal="center" vertical="center" wrapText="1"/>
    </xf>
    <xf numFmtId="49" fontId="43" fillId="0" borderId="0" applyFill="0" applyBorder="0" applyAlignment="0"/>
    <xf numFmtId="206" fontId="15" fillId="0" borderId="0" applyFill="0" applyBorder="0" applyAlignment="0"/>
    <xf numFmtId="294" fontId="15" fillId="0" borderId="0" applyFill="0" applyBorder="0" applyAlignment="0"/>
    <xf numFmtId="191" fontId="49" fillId="0" borderId="24">
      <alignment horizontal="center"/>
    </xf>
    <xf numFmtId="0" fontId="49" fillId="0" borderId="0" applyNumberFormat="0" applyFill="0" applyBorder="0" applyAlignment="0" applyProtection="0"/>
    <xf numFmtId="0" fontId="49" fillId="0" borderId="0" applyNumberFormat="0" applyFill="0" applyBorder="0" applyAlignment="0" applyProtection="0"/>
    <xf numFmtId="191" fontId="49" fillId="0" borderId="24">
      <alignment horizontal="center"/>
    </xf>
    <xf numFmtId="0" fontId="198" fillId="0" borderId="0">
      <alignment vertical="center" wrapText="1"/>
      <protection locked="0"/>
    </xf>
    <xf numFmtId="0" fontId="24" fillId="0" borderId="39"/>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xf numFmtId="0" fontId="171" fillId="0" borderId="0" applyNumberFormat="0" applyFill="0" applyBorder="0" applyAlignment="0" applyProtection="0"/>
    <xf numFmtId="0" fontId="19" fillId="0" borderId="1" applyNumberFormat="0" applyBorder="0" applyAlignment="0"/>
    <xf numFmtId="0" fontId="199" fillId="0" borderId="29" applyNumberFormat="0" applyBorder="0" applyAlignment="0">
      <alignment horizontal="center"/>
    </xf>
    <xf numFmtId="3" fontId="200" fillId="0" borderId="20" applyNumberFormat="0" applyBorder="0" applyAlignment="0"/>
    <xf numFmtId="49" fontId="21" fillId="0" borderId="0">
      <alignment horizontal="justify" vertical="center" wrapText="1"/>
    </xf>
    <xf numFmtId="0" fontId="2" fillId="0" borderId="0" applyNumberFormat="0" applyFill="0" applyBorder="0" applyAlignment="0" applyProtection="0"/>
    <xf numFmtId="40" fontId="201" fillId="0" borderId="0"/>
    <xf numFmtId="0" fontId="91" fillId="3" borderId="7" applyNumberFormat="0" applyAlignment="0" applyProtection="0"/>
    <xf numFmtId="0" fontId="202" fillId="0" borderId="1"/>
    <xf numFmtId="3" fontId="203" fillId="0" borderId="0" applyNumberFormat="0" applyFill="0" applyBorder="0" applyAlignment="0" applyProtection="0">
      <alignment horizontal="center" wrapText="1"/>
    </xf>
    <xf numFmtId="0" fontId="204" fillId="0" borderId="40" applyBorder="0" applyAlignment="0">
      <alignment horizontal="center" vertical="center"/>
    </xf>
    <xf numFmtId="0" fontId="205" fillId="0" borderId="0" applyNumberFormat="0" applyFill="0" applyBorder="0" applyAlignment="0" applyProtection="0">
      <alignment horizontal="centerContinuous"/>
    </xf>
    <xf numFmtId="0" fontId="135" fillId="0" borderId="41" applyNumberFormat="0" applyFill="0" applyBorder="0" applyAlignment="0" applyProtection="0">
      <alignment horizontal="center" vertical="center" wrapText="1"/>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06" fillId="0" borderId="42" applyNumberFormat="0" applyFill="0" applyAlignment="0" applyProtection="0"/>
    <xf numFmtId="0" fontId="207" fillId="0" borderId="43" applyNumberFormat="0" applyBorder="0" applyAlignment="0">
      <alignment vertical="center"/>
    </xf>
    <xf numFmtId="0" fontId="133" fillId="8" borderId="0" applyNumberFormat="0" applyBorder="0" applyAlignment="0" applyProtection="0"/>
    <xf numFmtId="0" fontId="206" fillId="0" borderId="42" applyNumberFormat="0" applyFill="0" applyAlignment="0" applyProtection="0"/>
    <xf numFmtId="0" fontId="15" fillId="0" borderId="37" applyNumberFormat="0" applyFont="0" applyFill="0" applyAlignment="0" applyProtection="0"/>
    <xf numFmtId="0" fontId="15" fillId="0" borderId="37" applyNumberFormat="0" applyFont="0" applyFill="0" applyAlignment="0" applyProtection="0"/>
    <xf numFmtId="0" fontId="15" fillId="0" borderId="37" applyNumberFormat="0" applyFont="0" applyFill="0" applyAlignment="0" applyProtection="0"/>
    <xf numFmtId="0" fontId="160" fillId="0" borderId="44" applyNumberFormat="0" applyAlignment="0">
      <alignment horizontal="center"/>
    </xf>
    <xf numFmtId="0" fontId="198" fillId="0" borderId="0"/>
    <xf numFmtId="0" fontId="160" fillId="0" borderId="44" applyNumberFormat="0" applyAlignment="0">
      <alignment horizontal="center"/>
    </xf>
    <xf numFmtId="172" fontId="208" fillId="0" borderId="0"/>
    <xf numFmtId="14" fontId="198" fillId="0" borderId="0">
      <alignment horizontal="center"/>
    </xf>
    <xf numFmtId="21" fontId="198" fillId="0" borderId="0">
      <alignment horizontal="center"/>
    </xf>
    <xf numFmtId="0" fontId="163" fillId="63" borderId="0" applyNumberFormat="0" applyBorder="0" applyAlignment="0" applyProtection="0"/>
    <xf numFmtId="3" fontId="209" fillId="0" borderId="0" applyFill="0">
      <alignment vertical="center"/>
    </xf>
    <xf numFmtId="41" fontId="15" fillId="0" borderId="0" applyFont="0" applyFill="0" applyBorder="0" applyAlignment="0" applyProtection="0"/>
    <xf numFmtId="43" fontId="15" fillId="0" borderId="0" applyFont="0" applyFill="0" applyBorder="0" applyAlignment="0" applyProtection="0"/>
    <xf numFmtId="295" fontId="42" fillId="0" borderId="0" applyFont="0" applyFill="0" applyBorder="0" applyAlignment="0" applyProtection="0"/>
    <xf numFmtId="296" fontId="90" fillId="0" borderId="0" applyFont="0" applyFill="0" applyBorder="0" applyAlignment="0" applyProtection="0"/>
    <xf numFmtId="0" fontId="210" fillId="0" borderId="0" applyNumberFormat="0" applyFill="0" applyBorder="0" applyAlignment="0" applyProtection="0"/>
    <xf numFmtId="0" fontId="123" fillId="0" borderId="0" applyNumberFormat="0" applyFill="0" applyBorder="0" applyAlignment="0" applyProtection="0"/>
    <xf numFmtId="0" fontId="6" fillId="0" borderId="2"/>
    <xf numFmtId="294" fontId="49" fillId="0" borderId="0"/>
    <xf numFmtId="207" fontId="49" fillId="0" borderId="2"/>
    <xf numFmtId="3" fontId="24" fillId="65" borderId="19">
      <alignment horizontal="right" vertical="top" wrapText="1"/>
    </xf>
    <xf numFmtId="0" fontId="48" fillId="0" borderId="0"/>
    <xf numFmtId="0" fontId="211" fillId="0" borderId="0"/>
    <xf numFmtId="3" fontId="49" fillId="0" borderId="0" applyNumberFormat="0" applyBorder="0" applyAlignment="0" applyProtection="0">
      <alignment horizontal="centerContinuous"/>
      <protection locked="0"/>
    </xf>
    <xf numFmtId="3" fontId="57" fillId="0" borderId="0">
      <protection locked="0"/>
    </xf>
    <xf numFmtId="0" fontId="48" fillId="0" borderId="0"/>
    <xf numFmtId="0" fontId="18" fillId="0" borderId="45" applyFill="0" applyBorder="0" applyAlignment="0">
      <alignment horizontal="center"/>
    </xf>
    <xf numFmtId="166" fontId="212" fillId="82" borderId="40">
      <alignment vertical="top"/>
    </xf>
    <xf numFmtId="0" fontId="21" fillId="83" borderId="2">
      <alignment horizontal="left" vertical="center"/>
    </xf>
    <xf numFmtId="167" fontId="213" fillId="66" borderId="40"/>
    <xf numFmtId="297" fontId="10" fillId="0" borderId="40">
      <alignment horizontal="left" vertical="top"/>
    </xf>
    <xf numFmtId="0" fontId="214" fillId="84" borderId="0">
      <alignment horizontal="left" vertical="center"/>
    </xf>
    <xf numFmtId="0" fontId="23" fillId="0" borderId="0" applyBorder="0"/>
    <xf numFmtId="297" fontId="14" fillId="0" borderId="32">
      <alignment horizontal="left" vertical="top"/>
    </xf>
    <xf numFmtId="0" fontId="16" fillId="0" borderId="32">
      <alignment horizontal="left" vertical="center"/>
    </xf>
    <xf numFmtId="298" fontId="15" fillId="0" borderId="0" applyFont="0" applyFill="0" applyBorder="0" applyAlignment="0" applyProtection="0"/>
    <xf numFmtId="299" fontId="15" fillId="0" borderId="0" applyFont="0" applyFill="0" applyBorder="0" applyAlignment="0" applyProtection="0"/>
    <xf numFmtId="168" fontId="118" fillId="0" borderId="0" applyFont="0" applyFill="0" applyBorder="0" applyAlignment="0" applyProtection="0"/>
    <xf numFmtId="170" fontId="118" fillId="0" borderId="0" applyFont="0" applyFill="0" applyBorder="0" applyAlignment="0" applyProtection="0"/>
    <xf numFmtId="0" fontId="210" fillId="0" borderId="0" applyNumberFormat="0" applyFill="0" applyBorder="0" applyAlignment="0" applyProtection="0"/>
    <xf numFmtId="0" fontId="210" fillId="0" borderId="0" applyNumberFormat="0" applyFill="0" applyBorder="0" applyAlignment="0" applyProtection="0"/>
    <xf numFmtId="0" fontId="210" fillId="0" borderId="0" applyNumberFormat="0" applyFill="0" applyBorder="0" applyAlignment="0" applyProtection="0"/>
    <xf numFmtId="3" fontId="215" fillId="0" borderId="0" applyNumberFormat="0" applyFill="0" applyBorder="0" applyAlignment="0">
      <alignment horizontal="centerContinuous" vertical="center"/>
    </xf>
    <xf numFmtId="0" fontId="12" fillId="0" borderId="46" applyNumberFormat="0" applyFont="0" applyAlignment="0">
      <alignment horizontal="center"/>
    </xf>
    <xf numFmtId="0" fontId="82" fillId="6" borderId="0" applyNumberFormat="0" applyBorder="0" applyAlignment="0" applyProtection="0"/>
    <xf numFmtId="0" fontId="216" fillId="0" borderId="0" applyNumberFormat="0" applyFill="0" applyBorder="0" applyAlignment="0" applyProtection="0"/>
    <xf numFmtId="0" fontId="217" fillId="0" borderId="0">
      <alignment vertical="center"/>
    </xf>
    <xf numFmtId="168" fontId="218" fillId="0" borderId="0" applyFont="0" applyFill="0" applyBorder="0" applyAlignment="0" applyProtection="0"/>
    <xf numFmtId="170" fontId="218" fillId="0" borderId="0" applyFont="0" applyFill="0" applyBorder="0" applyAlignment="0" applyProtection="0"/>
    <xf numFmtId="0" fontId="218" fillId="0" borderId="0"/>
    <xf numFmtId="0" fontId="146" fillId="0" borderId="0" applyFont="0" applyFill="0" applyBorder="0" applyAlignment="0" applyProtection="0"/>
    <xf numFmtId="0" fontId="146" fillId="0" borderId="0" applyFont="0" applyFill="0" applyBorder="0" applyAlignment="0" applyProtection="0"/>
    <xf numFmtId="0" fontId="44" fillId="0" borderId="0">
      <alignment vertical="center"/>
    </xf>
    <xf numFmtId="40" fontId="39" fillId="0" borderId="0" applyFont="0" applyFill="0" applyBorder="0" applyAlignment="0" applyProtection="0"/>
    <xf numFmtId="38"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9" fontId="219" fillId="0" borderId="0" applyBorder="0" applyAlignment="0" applyProtection="0"/>
    <xf numFmtId="0" fontId="220" fillId="0" borderId="0"/>
    <xf numFmtId="0" fontId="221" fillId="0" borderId="5"/>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67" fillId="0" borderId="0" applyFont="0" applyFill="0" applyBorder="0" applyAlignment="0" applyProtection="0"/>
    <xf numFmtId="0" fontId="167" fillId="0" borderId="0" applyFont="0" applyFill="0" applyBorder="0" applyAlignment="0" applyProtection="0"/>
    <xf numFmtId="168" fontId="15" fillId="0" borderId="0" applyFont="0" applyFill="0" applyBorder="0" applyAlignment="0" applyProtection="0"/>
    <xf numFmtId="170" fontId="15" fillId="0" borderId="0" applyFont="0" applyFill="0" applyBorder="0" applyAlignment="0" applyProtection="0"/>
    <xf numFmtId="0" fontId="167" fillId="0" borderId="0"/>
    <xf numFmtId="0" fontId="162" fillId="0" borderId="0"/>
    <xf numFmtId="0" fontId="29" fillId="71" borderId="30" applyNumberFormat="0" applyAlignment="0"/>
    <xf numFmtId="41" fontId="51" fillId="0" borderId="0" applyFont="0" applyFill="0" applyBorder="0" applyAlignment="0" applyProtection="0"/>
    <xf numFmtId="43" fontId="51" fillId="0" borderId="0" applyFont="0" applyFill="0" applyBorder="0" applyAlignment="0" applyProtection="0"/>
    <xf numFmtId="0" fontId="29" fillId="2" borderId="30" applyNumberFormat="0" applyAlignment="0"/>
    <xf numFmtId="0" fontId="162" fillId="0" borderId="0">
      <protection locked="0"/>
    </xf>
    <xf numFmtId="43" fontId="44" fillId="0" borderId="0" applyFont="0" applyFill="0" applyBorder="0" applyAlignment="0" applyProtection="0"/>
    <xf numFmtId="41" fontId="44" fillId="0" borderId="0" applyFont="0" applyFill="0" applyBorder="0" applyAlignment="0" applyProtection="0"/>
    <xf numFmtId="187" fontId="15" fillId="0" borderId="0" applyFont="0" applyFill="0" applyBorder="0" applyAlignment="0" applyProtection="0"/>
    <xf numFmtId="188" fontId="15" fillId="0" borderId="0" applyFont="0" applyFill="0" applyBorder="0" applyAlignment="0" applyProtection="0"/>
    <xf numFmtId="0" fontId="29" fillId="0" borderId="0"/>
    <xf numFmtId="0" fontId="15" fillId="0" borderId="0"/>
    <xf numFmtId="0" fontId="29" fillId="0" borderId="0"/>
    <xf numFmtId="181" fontId="51" fillId="0" borderId="0" applyFont="0" applyFill="0" applyBorder="0" applyAlignment="0" applyProtection="0"/>
    <xf numFmtId="181" fontId="29" fillId="0" borderId="0" applyFont="0" applyFill="0" applyBorder="0" applyAlignment="0" applyProtection="0"/>
    <xf numFmtId="224" fontId="51" fillId="0" borderId="0" applyFont="0" applyFill="0" applyBorder="0" applyAlignment="0" applyProtection="0"/>
    <xf numFmtId="269" fontId="15" fillId="0" borderId="0" applyFont="0" applyFill="0" applyBorder="0" applyAlignment="0" applyProtection="0"/>
    <xf numFmtId="268" fontId="15" fillId="0" borderId="0" applyFont="0" applyFill="0" applyBorder="0" applyAlignment="0" applyProtection="0"/>
    <xf numFmtId="265" fontId="222" fillId="0" borderId="24">
      <alignment horizontal="center"/>
    </xf>
    <xf numFmtId="0" fontId="70" fillId="0" borderId="0"/>
    <xf numFmtId="0" fontId="6" fillId="0" borderId="0"/>
    <xf numFmtId="0" fontId="335" fillId="0" borderId="0"/>
    <xf numFmtId="189"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19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194" fontId="6" fillId="0" borderId="0" applyFont="0" applyFill="0" applyBorder="0" applyAlignment="0" applyProtection="0"/>
    <xf numFmtId="171" fontId="6" fillId="0" borderId="0" applyFont="0" applyFill="0" applyBorder="0" applyAlignment="0" applyProtection="0"/>
    <xf numFmtId="0" fontId="6" fillId="0" borderId="0"/>
    <xf numFmtId="171" fontId="6" fillId="0" borderId="0" applyFont="0" applyFill="0" applyBorder="0" applyAlignment="0" applyProtection="0"/>
    <xf numFmtId="171" fontId="243" fillId="0" borderId="0" applyFont="0" applyFill="0" applyBorder="0" applyAlignment="0" applyProtection="0"/>
    <xf numFmtId="3" fontId="6" fillId="55" borderId="19">
      <alignment horizontal="right" vertical="top" wrapText="1"/>
    </xf>
    <xf numFmtId="173" fontId="6" fillId="61" borderId="19">
      <alignment vertical="top" wrapText="1"/>
    </xf>
    <xf numFmtId="174" fontId="6" fillId="0" borderId="0" applyFont="0" applyFill="0" applyBorder="0" applyAlignment="0" applyProtection="0"/>
    <xf numFmtId="282" fontId="6" fillId="0" borderId="24">
      <alignment horizontal="right" vertical="center"/>
    </xf>
    <xf numFmtId="282" fontId="6" fillId="0" borderId="24">
      <alignment horizontal="right" vertical="center"/>
    </xf>
    <xf numFmtId="282" fontId="6" fillId="0" borderId="24">
      <alignment horizontal="right" vertical="center"/>
    </xf>
    <xf numFmtId="282" fontId="6" fillId="0" borderId="24">
      <alignment horizontal="right" vertical="center"/>
    </xf>
    <xf numFmtId="282" fontId="6" fillId="0" borderId="24">
      <alignment horizontal="right" vertical="center"/>
    </xf>
    <xf numFmtId="282" fontId="6" fillId="0" borderId="24">
      <alignment horizontal="right" vertical="center"/>
    </xf>
    <xf numFmtId="282" fontId="6" fillId="0" borderId="24">
      <alignment horizontal="right" vertical="center"/>
    </xf>
    <xf numFmtId="287" fontId="6" fillId="0" borderId="24">
      <alignment horizontal="right" vertical="center"/>
    </xf>
    <xf numFmtId="287" fontId="6" fillId="0" borderId="24">
      <alignment horizontal="right" vertical="center"/>
    </xf>
    <xf numFmtId="282" fontId="6" fillId="0" borderId="24">
      <alignment horizontal="right" vertical="center"/>
    </xf>
    <xf numFmtId="282" fontId="6" fillId="0" borderId="24">
      <alignment horizontal="right" vertical="center"/>
    </xf>
    <xf numFmtId="282" fontId="6" fillId="0" borderId="24">
      <alignment horizontal="right" vertical="center"/>
    </xf>
    <xf numFmtId="290" fontId="6" fillId="0" borderId="24">
      <alignment horizontal="right" vertical="center"/>
    </xf>
    <xf numFmtId="290" fontId="6" fillId="0" borderId="24">
      <alignment horizontal="right" vertical="center"/>
    </xf>
    <xf numFmtId="290" fontId="6" fillId="0" borderId="24">
      <alignment horizontal="right" vertical="center"/>
    </xf>
    <xf numFmtId="282" fontId="6" fillId="0" borderId="24">
      <alignment horizontal="right" vertical="center"/>
    </xf>
    <xf numFmtId="292" fontId="6" fillId="0" borderId="24">
      <alignment horizontal="right" vertical="center"/>
    </xf>
    <xf numFmtId="282" fontId="6" fillId="0" borderId="24">
      <alignment horizontal="right" vertical="center"/>
    </xf>
    <xf numFmtId="282" fontId="6" fillId="0" borderId="24">
      <alignment horizontal="right" vertical="center"/>
    </xf>
    <xf numFmtId="282" fontId="6" fillId="0" borderId="24">
      <alignment horizontal="right" vertical="center"/>
    </xf>
    <xf numFmtId="173" fontId="6" fillId="0" borderId="24">
      <alignment horizontal="right" vertical="center"/>
    </xf>
    <xf numFmtId="282" fontId="6" fillId="0" borderId="24">
      <alignment horizontal="right" vertical="center"/>
    </xf>
    <xf numFmtId="282" fontId="6" fillId="0" borderId="24">
      <alignment horizontal="right" vertical="center"/>
    </xf>
    <xf numFmtId="282" fontId="6" fillId="0" borderId="24">
      <alignment horizontal="right" vertical="center"/>
    </xf>
    <xf numFmtId="290" fontId="6" fillId="0" borderId="24">
      <alignment horizontal="right" vertical="center"/>
    </xf>
    <xf numFmtId="0" fontId="6" fillId="0" borderId="39"/>
    <xf numFmtId="3" fontId="6" fillId="65" borderId="19">
      <alignment horizontal="right" vertical="top" wrapText="1"/>
    </xf>
    <xf numFmtId="0" fontId="1" fillId="0" borderId="0"/>
    <xf numFmtId="0" fontId="1" fillId="0" borderId="0"/>
    <xf numFmtId="171" fontId="1" fillId="0" borderId="0" applyFont="0" applyFill="0" applyBorder="0" applyAlignment="0" applyProtection="0"/>
    <xf numFmtId="0" fontId="341" fillId="0" borderId="0"/>
  </cellStyleXfs>
  <cellXfs count="1264">
    <xf numFmtId="0" fontId="0" fillId="0" borderId="0" xfId="0"/>
    <xf numFmtId="173" fontId="244" fillId="0" borderId="0" xfId="0" applyNumberFormat="1" applyFont="1"/>
    <xf numFmtId="0" fontId="244" fillId="0" borderId="0" xfId="0" applyFont="1"/>
    <xf numFmtId="0" fontId="0" fillId="0" borderId="0" xfId="0" applyAlignment="1">
      <alignment horizontal="center"/>
    </xf>
    <xf numFmtId="0" fontId="244" fillId="0" borderId="47" xfId="0" applyFont="1" applyBorder="1" applyAlignment="1">
      <alignment horizontal="center" vertical="center"/>
    </xf>
    <xf numFmtId="0" fontId="244" fillId="0" borderId="48" xfId="0" applyFont="1" applyBorder="1" applyAlignment="1">
      <alignment horizontal="center" vertical="center"/>
    </xf>
    <xf numFmtId="0" fontId="244" fillId="0" borderId="48" xfId="0" applyFont="1" applyBorder="1" applyAlignment="1">
      <alignment horizontal="center" vertical="center" wrapText="1"/>
    </xf>
    <xf numFmtId="0" fontId="246" fillId="0" borderId="0" xfId="0" applyFont="1"/>
    <xf numFmtId="0" fontId="247" fillId="0" borderId="0" xfId="0" applyFont="1"/>
    <xf numFmtId="173" fontId="247" fillId="0" borderId="0" xfId="0" applyNumberFormat="1" applyFont="1"/>
    <xf numFmtId="0" fontId="248" fillId="0" borderId="0" xfId="0" applyFont="1"/>
    <xf numFmtId="173" fontId="248" fillId="0" borderId="0" xfId="0" applyNumberFormat="1" applyFont="1"/>
    <xf numFmtId="173" fontId="0" fillId="0" borderId="0" xfId="0" applyNumberFormat="1"/>
    <xf numFmtId="173" fontId="244" fillId="0" borderId="48" xfId="0" applyNumberFormat="1" applyFont="1" applyBorder="1" applyAlignment="1">
      <alignment horizontal="center" vertical="center"/>
    </xf>
    <xf numFmtId="173" fontId="244" fillId="0" borderId="38" xfId="0" applyNumberFormat="1" applyFont="1" applyBorder="1" applyAlignment="1">
      <alignment horizontal="center" vertical="center"/>
    </xf>
    <xf numFmtId="0" fontId="249" fillId="0" borderId="0" xfId="0" applyFont="1"/>
    <xf numFmtId="3" fontId="249" fillId="0" borderId="0" xfId="0" applyNumberFormat="1" applyFont="1"/>
    <xf numFmtId="4" fontId="249" fillId="0" borderId="0" xfId="0" applyNumberFormat="1" applyFont="1"/>
    <xf numFmtId="173" fontId="249" fillId="0" borderId="0" xfId="0" applyNumberFormat="1" applyFont="1"/>
    <xf numFmtId="0" fontId="249" fillId="0" borderId="49" xfId="0" applyFont="1" applyBorder="1"/>
    <xf numFmtId="0" fontId="249" fillId="0" borderId="1" xfId="0" applyFont="1" applyBorder="1"/>
    <xf numFmtId="3" fontId="249" fillId="0" borderId="1" xfId="0" applyNumberFormat="1" applyFont="1" applyBorder="1"/>
    <xf numFmtId="4" fontId="249" fillId="0" borderId="1" xfId="0" applyNumberFormat="1" applyFont="1" applyBorder="1"/>
    <xf numFmtId="173" fontId="249" fillId="0" borderId="1" xfId="0" applyNumberFormat="1" applyFont="1" applyBorder="1"/>
    <xf numFmtId="173" fontId="249" fillId="0" borderId="50" xfId="0" applyNumberFormat="1" applyFont="1" applyBorder="1"/>
    <xf numFmtId="0" fontId="249" fillId="0" borderId="51" xfId="0" applyFont="1" applyBorder="1"/>
    <xf numFmtId="0" fontId="249" fillId="0" borderId="52" xfId="0" applyFont="1" applyBorder="1"/>
    <xf numFmtId="3" fontId="249" fillId="0" borderId="52" xfId="0" applyNumberFormat="1" applyFont="1" applyBorder="1"/>
    <xf numFmtId="4" fontId="249" fillId="0" borderId="52" xfId="0" applyNumberFormat="1" applyFont="1" applyBorder="1"/>
    <xf numFmtId="173" fontId="249" fillId="0" borderId="52" xfId="0" applyNumberFormat="1" applyFont="1" applyBorder="1"/>
    <xf numFmtId="173" fontId="249" fillId="0" borderId="53" xfId="0" applyNumberFormat="1" applyFont="1" applyBorder="1"/>
    <xf numFmtId="0" fontId="249" fillId="0" borderId="54" xfId="0" applyFont="1" applyBorder="1"/>
    <xf numFmtId="0" fontId="249" fillId="0" borderId="20" xfId="0" applyFont="1" applyBorder="1"/>
    <xf numFmtId="3" fontId="249" fillId="0" borderId="20" xfId="0" applyNumberFormat="1" applyFont="1" applyBorder="1"/>
    <xf numFmtId="4" fontId="249" fillId="0" borderId="20" xfId="0" applyNumberFormat="1" applyFont="1" applyBorder="1"/>
    <xf numFmtId="173" fontId="249" fillId="0" borderId="20" xfId="0" applyNumberFormat="1" applyFont="1" applyBorder="1"/>
    <xf numFmtId="173" fontId="249" fillId="0" borderId="55" xfId="0" applyNumberFormat="1" applyFont="1" applyBorder="1"/>
    <xf numFmtId="0" fontId="250" fillId="0" borderId="0" xfId="0" applyFont="1"/>
    <xf numFmtId="3" fontId="250" fillId="0" borderId="0" xfId="0" applyNumberFormat="1" applyFont="1"/>
    <xf numFmtId="4" fontId="250" fillId="0" borderId="0" xfId="0" applyNumberFormat="1" applyFont="1"/>
    <xf numFmtId="173" fontId="250" fillId="0" borderId="0" xfId="0" applyNumberFormat="1" applyFont="1"/>
    <xf numFmtId="0" fontId="250" fillId="0" borderId="47" xfId="0" applyFont="1" applyBorder="1" applyAlignment="1">
      <alignment horizontal="center" vertical="center"/>
    </xf>
    <xf numFmtId="0" fontId="250" fillId="0" borderId="48" xfId="0" applyFont="1" applyBorder="1" applyAlignment="1">
      <alignment horizontal="center" vertical="center" wrapText="1"/>
    </xf>
    <xf numFmtId="3" fontId="250" fillId="0" borderId="48" xfId="0" applyNumberFormat="1" applyFont="1" applyBorder="1" applyAlignment="1">
      <alignment horizontal="center" vertical="center" wrapText="1"/>
    </xf>
    <xf numFmtId="4" fontId="250" fillId="0" borderId="48" xfId="0" applyNumberFormat="1" applyFont="1" applyBorder="1" applyAlignment="1">
      <alignment horizontal="center" vertical="center" wrapText="1"/>
    </xf>
    <xf numFmtId="173" fontId="250" fillId="0" borderId="48" xfId="0" applyNumberFormat="1" applyFont="1" applyBorder="1" applyAlignment="1">
      <alignment horizontal="center" vertical="center" wrapText="1"/>
    </xf>
    <xf numFmtId="173" fontId="250" fillId="0" borderId="38" xfId="0" applyNumberFormat="1" applyFont="1" applyBorder="1" applyAlignment="1">
      <alignment horizontal="center" vertical="center" wrapText="1"/>
    </xf>
    <xf numFmtId="4" fontId="247" fillId="0" borderId="0" xfId="0" applyNumberFormat="1" applyFont="1" applyAlignment="1">
      <alignment horizontal="center"/>
    </xf>
    <xf numFmtId="4" fontId="248" fillId="0" borderId="0" xfId="0" applyNumberFormat="1" applyFont="1" applyAlignment="1">
      <alignment horizontal="center"/>
    </xf>
    <xf numFmtId="0" fontId="244" fillId="0" borderId="0" xfId="0" applyFont="1" applyAlignment="1">
      <alignment horizontal="center"/>
    </xf>
    <xf numFmtId="0" fontId="0" fillId="0" borderId="49"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173" fontId="0" fillId="0" borderId="1" xfId="0" applyNumberFormat="1" applyBorder="1" applyAlignment="1">
      <alignment vertical="center"/>
    </xf>
    <xf numFmtId="173" fontId="0" fillId="0" borderId="50" xfId="0" applyNumberFormat="1" applyBorder="1" applyAlignment="1">
      <alignment vertical="center"/>
    </xf>
    <xf numFmtId="0" fontId="0" fillId="0" borderId="0" xfId="0" applyAlignment="1">
      <alignment vertical="center"/>
    </xf>
    <xf numFmtId="173" fontId="244" fillId="0" borderId="50" xfId="0" applyNumberFormat="1" applyFont="1" applyBorder="1" applyAlignment="1">
      <alignment vertical="center"/>
    </xf>
    <xf numFmtId="0" fontId="0" fillId="0" borderId="51" xfId="0" applyBorder="1" applyAlignment="1">
      <alignment horizontal="center" vertical="center"/>
    </xf>
    <xf numFmtId="0" fontId="0" fillId="0" borderId="52" xfId="0" applyBorder="1" applyAlignment="1">
      <alignment vertical="center"/>
    </xf>
    <xf numFmtId="0" fontId="0" fillId="0" borderId="52" xfId="0" applyBorder="1" applyAlignment="1">
      <alignment horizontal="center" vertical="center"/>
    </xf>
    <xf numFmtId="173" fontId="0" fillId="0" borderId="52" xfId="0" applyNumberFormat="1" applyBorder="1" applyAlignment="1">
      <alignment vertical="center"/>
    </xf>
    <xf numFmtId="173" fontId="0" fillId="0" borderId="53" xfId="0" applyNumberFormat="1" applyBorder="1" applyAlignment="1">
      <alignment vertical="center"/>
    </xf>
    <xf numFmtId="0" fontId="244" fillId="0" borderId="0" xfId="0" applyFont="1" applyAlignment="1">
      <alignment vertical="center"/>
    </xf>
    <xf numFmtId="0" fontId="251" fillId="0" borderId="0" xfId="0" applyFont="1" applyAlignment="1">
      <alignment horizontal="center"/>
    </xf>
    <xf numFmtId="0" fontId="252" fillId="0" borderId="0" xfId="0" applyFont="1" applyAlignment="1">
      <alignment horizontal="center"/>
    </xf>
    <xf numFmtId="0" fontId="6" fillId="59" borderId="0" xfId="2204" applyFill="1" applyAlignment="1">
      <alignment vertical="center"/>
    </xf>
    <xf numFmtId="0" fontId="6" fillId="0" borderId="0" xfId="2204"/>
    <xf numFmtId="0" fontId="6" fillId="0" borderId="0" xfId="2204" applyAlignment="1">
      <alignment horizontal="center"/>
    </xf>
    <xf numFmtId="0" fontId="238" fillId="0" borderId="0" xfId="2220" applyFont="1" applyAlignment="1" applyProtection="1">
      <alignment horizontal="center" vertical="center"/>
      <protection locked="0"/>
    </xf>
    <xf numFmtId="172" fontId="244" fillId="0" borderId="0" xfId="0" applyNumberFormat="1" applyFont="1" applyAlignment="1">
      <alignment horizontal="right"/>
    </xf>
    <xf numFmtId="172" fontId="244" fillId="0" borderId="48" xfId="0" applyNumberFormat="1" applyFont="1" applyBorder="1" applyAlignment="1">
      <alignment horizontal="center" vertical="center"/>
    </xf>
    <xf numFmtId="0" fontId="244" fillId="0" borderId="54" xfId="0" applyFont="1" applyBorder="1" applyAlignment="1">
      <alignment horizontal="center" vertical="center"/>
    </xf>
    <xf numFmtId="0" fontId="244" fillId="0" borderId="20" xfId="0" applyFont="1" applyBorder="1" applyAlignment="1">
      <alignment vertical="center"/>
    </xf>
    <xf numFmtId="0" fontId="244" fillId="0" borderId="20" xfId="0" applyFont="1" applyBorder="1" applyAlignment="1">
      <alignment horizontal="center" vertical="center"/>
    </xf>
    <xf numFmtId="172" fontId="244" fillId="0" borderId="20" xfId="0" applyNumberFormat="1" applyFont="1" applyBorder="1" applyAlignment="1">
      <alignment horizontal="right" vertical="center"/>
    </xf>
    <xf numFmtId="175" fontId="244" fillId="0" borderId="20" xfId="1899" applyNumberFormat="1" applyFont="1" applyBorder="1" applyAlignment="1">
      <alignment vertical="center"/>
    </xf>
    <xf numFmtId="175" fontId="244" fillId="0" borderId="55" xfId="1899" applyNumberFormat="1" applyFont="1" applyBorder="1" applyAlignment="1">
      <alignment vertical="center"/>
    </xf>
    <xf numFmtId="0" fontId="0" fillId="0" borderId="49"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178" fontId="243" fillId="0" borderId="1" xfId="1899" applyNumberFormat="1" applyFont="1" applyBorder="1" applyAlignment="1">
      <alignment horizontal="right" vertical="center" wrapText="1"/>
    </xf>
    <xf numFmtId="175" fontId="243" fillId="0" borderId="1" xfId="1899" applyNumberFormat="1" applyFont="1" applyBorder="1" applyAlignment="1">
      <alignment vertical="center" wrapText="1"/>
    </xf>
    <xf numFmtId="175" fontId="243" fillId="0" borderId="50" xfId="1899" applyNumberFormat="1" applyFont="1" applyBorder="1" applyAlignment="1">
      <alignment vertical="center" wrapText="1"/>
    </xf>
    <xf numFmtId="0" fontId="0" fillId="0" borderId="0" xfId="0" applyAlignment="1">
      <alignment vertical="center" wrapText="1"/>
    </xf>
    <xf numFmtId="172" fontId="0" fillId="0" borderId="1" xfId="0" applyNumberFormat="1" applyBorder="1" applyAlignment="1">
      <alignment horizontal="right" vertical="center"/>
    </xf>
    <xf numFmtId="0" fontId="0" fillId="0" borderId="79" xfId="0" applyBorder="1" applyAlignment="1">
      <alignment vertical="center" wrapText="1"/>
    </xf>
    <xf numFmtId="0" fontId="0" fillId="0" borderId="79" xfId="0" applyBorder="1" applyAlignment="1">
      <alignment horizontal="center" vertical="center" wrapText="1"/>
    </xf>
    <xf numFmtId="0" fontId="244" fillId="0" borderId="0" xfId="0" applyFont="1" applyAlignment="1">
      <alignment vertical="center" wrapText="1"/>
    </xf>
    <xf numFmtId="178" fontId="243" fillId="0" borderId="79" xfId="1899" applyNumberFormat="1" applyFont="1" applyBorder="1" applyAlignment="1">
      <alignment horizontal="right" vertical="center" wrapText="1"/>
    </xf>
    <xf numFmtId="0" fontId="5" fillId="0" borderId="20" xfId="0" applyFont="1" applyBorder="1" applyAlignment="1">
      <alignment vertical="center" wrapText="1"/>
    </xf>
    <xf numFmtId="0" fontId="0" fillId="0" borderId="20" xfId="0" applyBorder="1" applyAlignment="1">
      <alignment horizontal="center" vertical="center" wrapText="1"/>
    </xf>
    <xf numFmtId="178" fontId="243" fillId="0" borderId="20" xfId="1899" applyNumberFormat="1" applyFont="1" applyBorder="1" applyAlignment="1">
      <alignment horizontal="right" vertical="center" wrapText="1"/>
    </xf>
    <xf numFmtId="0" fontId="244" fillId="0" borderId="1" xfId="0" applyFont="1" applyBorder="1" applyAlignment="1">
      <alignment vertical="center"/>
    </xf>
    <xf numFmtId="175" fontId="243" fillId="0" borderId="1" xfId="1899" applyNumberFormat="1" applyFont="1" applyBorder="1" applyAlignment="1">
      <alignment vertical="center"/>
    </xf>
    <xf numFmtId="172" fontId="0" fillId="0" borderId="0" xfId="0" applyNumberFormat="1" applyAlignment="1">
      <alignment horizontal="right"/>
    </xf>
    <xf numFmtId="0" fontId="244" fillId="0" borderId="49" xfId="0" applyFont="1" applyBorder="1" applyAlignment="1">
      <alignment horizontal="center" vertical="center"/>
    </xf>
    <xf numFmtId="0" fontId="244" fillId="0" borderId="1" xfId="0" applyFont="1" applyBorder="1" applyAlignment="1">
      <alignment horizontal="center" vertical="center"/>
    </xf>
    <xf numFmtId="172" fontId="244" fillId="0" borderId="1" xfId="0" applyNumberFormat="1" applyFont="1" applyBorder="1" applyAlignment="1">
      <alignment horizontal="right" vertical="center"/>
    </xf>
    <xf numFmtId="172" fontId="0" fillId="0" borderId="52" xfId="0" applyNumberFormat="1" applyBorder="1" applyAlignment="1">
      <alignment horizontal="right" vertical="center"/>
    </xf>
    <xf numFmtId="0" fontId="0" fillId="0" borderId="2" xfId="0" applyBorder="1" applyAlignment="1">
      <alignment horizontal="center" vertical="center" wrapText="1"/>
    </xf>
    <xf numFmtId="266" fontId="0" fillId="0" borderId="2" xfId="0" applyNumberFormat="1" applyBorder="1" applyAlignment="1">
      <alignment horizontal="center" vertical="center"/>
    </xf>
    <xf numFmtId="319" fontId="0" fillId="0" borderId="2" xfId="0" applyNumberFormat="1" applyBorder="1" applyAlignment="1">
      <alignment horizontal="center" vertical="center"/>
    </xf>
    <xf numFmtId="174" fontId="244" fillId="0" borderId="0" xfId="0" applyNumberFormat="1" applyFont="1" applyAlignment="1">
      <alignment horizontal="center"/>
    </xf>
    <xf numFmtId="173" fontId="244" fillId="0" borderId="0" xfId="0" applyNumberFormat="1" applyFont="1" applyAlignment="1">
      <alignment horizontal="center"/>
    </xf>
    <xf numFmtId="0" fontId="244" fillId="0" borderId="47" xfId="0" applyFont="1" applyBorder="1" applyAlignment="1">
      <alignment horizontal="center" vertical="center" wrapText="1"/>
    </xf>
    <xf numFmtId="174" fontId="244" fillId="0" borderId="48" xfId="0" applyNumberFormat="1" applyFont="1" applyBorder="1" applyAlignment="1">
      <alignment horizontal="center" vertical="center" wrapText="1"/>
    </xf>
    <xf numFmtId="173" fontId="244" fillId="0" borderId="48" xfId="0" applyNumberFormat="1" applyFont="1" applyBorder="1" applyAlignment="1">
      <alignment horizontal="center" vertical="center" wrapText="1"/>
    </xf>
    <xf numFmtId="173" fontId="244" fillId="0" borderId="85" xfId="0" applyNumberFormat="1" applyFont="1" applyBorder="1" applyAlignment="1">
      <alignment horizontal="center" vertical="center" wrapText="1"/>
    </xf>
    <xf numFmtId="173" fontId="244" fillId="0" borderId="38" xfId="0" applyNumberFormat="1" applyFont="1" applyBorder="1" applyAlignment="1">
      <alignment horizontal="center" vertical="center" wrapText="1"/>
    </xf>
    <xf numFmtId="173" fontId="244" fillId="0" borderId="0" xfId="0" applyNumberFormat="1" applyFont="1" applyAlignment="1">
      <alignment horizontal="center" vertical="center" wrapText="1"/>
    </xf>
    <xf numFmtId="173" fontId="0" fillId="0" borderId="0" xfId="0" applyNumberFormat="1" applyAlignment="1">
      <alignment horizontal="center" vertical="center" wrapText="1"/>
    </xf>
    <xf numFmtId="0" fontId="0" fillId="0" borderId="0" xfId="0" applyAlignment="1">
      <alignment wrapText="1"/>
    </xf>
    <xf numFmtId="174" fontId="0" fillId="0" borderId="1" xfId="0" applyNumberFormat="1" applyBorder="1" applyAlignment="1">
      <alignment horizontal="center" vertical="center"/>
    </xf>
    <xf numFmtId="173" fontId="0" fillId="0" borderId="63" xfId="0" applyNumberFormat="1" applyBorder="1" applyAlignment="1">
      <alignment vertical="center"/>
    </xf>
    <xf numFmtId="173" fontId="0" fillId="0" borderId="0" xfId="0" applyNumberFormat="1" applyAlignment="1">
      <alignment vertical="center"/>
    </xf>
    <xf numFmtId="173" fontId="244" fillId="0" borderId="0" xfId="0" applyNumberFormat="1" applyFont="1" applyAlignment="1">
      <alignment vertical="center"/>
    </xf>
    <xf numFmtId="320" fontId="0" fillId="0" borderId="1" xfId="0" applyNumberFormat="1" applyBorder="1" applyAlignment="1">
      <alignment horizontal="center" vertical="center"/>
    </xf>
    <xf numFmtId="173" fontId="0" fillId="0" borderId="63" xfId="0" applyNumberFormat="1" applyBorder="1" applyAlignment="1">
      <alignment horizontal="center" vertical="center"/>
    </xf>
    <xf numFmtId="0" fontId="245" fillId="0" borderId="1" xfId="0" applyFont="1" applyBorder="1" applyAlignment="1">
      <alignment vertical="center"/>
    </xf>
    <xf numFmtId="0" fontId="245" fillId="0" borderId="1" xfId="0" applyFont="1" applyBorder="1" applyAlignment="1">
      <alignment horizontal="center" vertical="center"/>
    </xf>
    <xf numFmtId="174" fontId="245" fillId="0" borderId="1" xfId="0" applyNumberFormat="1" applyFont="1" applyBorder="1" applyAlignment="1">
      <alignment horizontal="center" vertical="center"/>
    </xf>
    <xf numFmtId="173" fontId="245" fillId="0" borderId="1" xfId="0" applyNumberFormat="1" applyFont="1" applyBorder="1" applyAlignment="1">
      <alignment vertical="center"/>
    </xf>
    <xf numFmtId="173" fontId="245" fillId="0" borderId="50" xfId="0" applyNumberFormat="1" applyFont="1" applyBorder="1" applyAlignment="1">
      <alignment vertical="center"/>
    </xf>
    <xf numFmtId="173" fontId="245" fillId="0" borderId="0" xfId="0" applyNumberFormat="1" applyFont="1" applyAlignment="1">
      <alignment vertical="center"/>
    </xf>
    <xf numFmtId="0" fontId="245" fillId="0" borderId="0" xfId="0" applyFont="1" applyAlignment="1">
      <alignment vertical="center"/>
    </xf>
    <xf numFmtId="173" fontId="253" fillId="0" borderId="50" xfId="0" applyNumberFormat="1" applyFont="1" applyBorder="1" applyAlignment="1">
      <alignment vertical="center"/>
    </xf>
    <xf numFmtId="173" fontId="253" fillId="0" borderId="0" xfId="0" applyNumberFormat="1" applyFont="1" applyAlignment="1">
      <alignment vertical="center"/>
    </xf>
    <xf numFmtId="174" fontId="0" fillId="0" borderId="52" xfId="0" applyNumberFormat="1" applyBorder="1" applyAlignment="1">
      <alignment horizontal="center" vertical="center"/>
    </xf>
    <xf numFmtId="174" fontId="0" fillId="0" borderId="0" xfId="0" applyNumberFormat="1" applyAlignment="1">
      <alignment horizontal="center"/>
    </xf>
    <xf numFmtId="173" fontId="0" fillId="0" borderId="0" xfId="0" applyNumberFormat="1" applyAlignment="1">
      <alignment horizontal="center"/>
    </xf>
    <xf numFmtId="175" fontId="249" fillId="0" borderId="20" xfId="1899" applyNumberFormat="1" applyFont="1" applyBorder="1"/>
    <xf numFmtId="0" fontId="248" fillId="0" borderId="0" xfId="0" applyFont="1" applyAlignment="1">
      <alignment horizontal="right"/>
    </xf>
    <xf numFmtId="0" fontId="248" fillId="0" borderId="47" xfId="0" applyFont="1" applyBorder="1" applyAlignment="1">
      <alignment horizontal="center" vertical="center"/>
    </xf>
    <xf numFmtId="0" fontId="248" fillId="0" borderId="48" xfId="0" applyFont="1" applyBorder="1" applyAlignment="1">
      <alignment horizontal="center" vertical="center"/>
    </xf>
    <xf numFmtId="0" fontId="248" fillId="0" borderId="48" xfId="0" applyFont="1" applyBorder="1" applyAlignment="1">
      <alignment horizontal="center" vertical="center" wrapText="1"/>
    </xf>
    <xf numFmtId="0" fontId="254" fillId="0" borderId="48" xfId="0" applyFont="1" applyBorder="1" applyAlignment="1">
      <alignment horizontal="center" vertical="center" wrapText="1"/>
    </xf>
    <xf numFmtId="173" fontId="254" fillId="0" borderId="48" xfId="0" applyNumberFormat="1" applyFont="1" applyBorder="1" applyAlignment="1">
      <alignment horizontal="center" vertical="center" wrapText="1"/>
    </xf>
    <xf numFmtId="4" fontId="254" fillId="0" borderId="48" xfId="0" applyNumberFormat="1" applyFont="1" applyBorder="1" applyAlignment="1">
      <alignment horizontal="center" vertical="center" wrapText="1"/>
    </xf>
    <xf numFmtId="173" fontId="248" fillId="0" borderId="48" xfId="0" applyNumberFormat="1" applyFont="1" applyBorder="1" applyAlignment="1">
      <alignment horizontal="center" vertical="center" wrapText="1"/>
    </xf>
    <xf numFmtId="173" fontId="248" fillId="0" borderId="48" xfId="0" applyNumberFormat="1" applyFont="1" applyBorder="1" applyAlignment="1">
      <alignment horizontal="center" vertical="center"/>
    </xf>
    <xf numFmtId="173" fontId="248" fillId="0" borderId="38" xfId="0" applyNumberFormat="1" applyFont="1" applyBorder="1" applyAlignment="1">
      <alignment horizontal="center" vertical="center"/>
    </xf>
    <xf numFmtId="0" fontId="247" fillId="0" borderId="54" xfId="0" applyFont="1" applyBorder="1"/>
    <xf numFmtId="0" fontId="247" fillId="0" borderId="20" xfId="0" applyFont="1" applyBorder="1"/>
    <xf numFmtId="0" fontId="247" fillId="0" borderId="20" xfId="0" applyFont="1" applyBorder="1" applyAlignment="1">
      <alignment horizontal="right"/>
    </xf>
    <xf numFmtId="173" fontId="247" fillId="0" borderId="20" xfId="0" applyNumberFormat="1" applyFont="1" applyBorder="1"/>
    <xf numFmtId="4" fontId="247" fillId="0" borderId="20" xfId="0" applyNumberFormat="1" applyFont="1" applyBorder="1" applyAlignment="1">
      <alignment horizontal="center"/>
    </xf>
    <xf numFmtId="173" fontId="247" fillId="0" borderId="55" xfId="0" applyNumberFormat="1" applyFont="1" applyBorder="1"/>
    <xf numFmtId="0" fontId="247" fillId="0" borderId="49" xfId="0" applyFont="1" applyBorder="1"/>
    <xf numFmtId="0" fontId="247" fillId="0" borderId="1" xfId="0" applyFont="1" applyBorder="1"/>
    <xf numFmtId="0" fontId="247" fillId="0" borderId="1" xfId="0" applyFont="1" applyBorder="1" applyAlignment="1">
      <alignment horizontal="right"/>
    </xf>
    <xf numFmtId="173" fontId="247" fillId="0" borderId="1" xfId="0" applyNumberFormat="1" applyFont="1" applyBorder="1"/>
    <xf numFmtId="4" fontId="247" fillId="0" borderId="1" xfId="0" applyNumberFormat="1" applyFont="1" applyBorder="1" applyAlignment="1">
      <alignment horizontal="center"/>
    </xf>
    <xf numFmtId="173" fontId="255" fillId="0" borderId="1" xfId="0" applyNumberFormat="1" applyFont="1" applyBorder="1"/>
    <xf numFmtId="173" fontId="255" fillId="0" borderId="50" xfId="0" applyNumberFormat="1" applyFont="1" applyBorder="1"/>
    <xf numFmtId="0" fontId="247" fillId="0" borderId="51" xfId="0" applyFont="1" applyBorder="1"/>
    <xf numFmtId="0" fontId="247" fillId="0" borderId="52" xfId="0" applyFont="1" applyBorder="1"/>
    <xf numFmtId="0" fontId="247" fillId="0" borderId="52" xfId="0" applyFont="1" applyBorder="1" applyAlignment="1">
      <alignment horizontal="right"/>
    </xf>
    <xf numFmtId="173" fontId="247" fillId="0" borderId="52" xfId="0" applyNumberFormat="1" applyFont="1" applyBorder="1"/>
    <xf numFmtId="4" fontId="247" fillId="0" borderId="52" xfId="0" applyNumberFormat="1" applyFont="1" applyBorder="1" applyAlignment="1">
      <alignment horizontal="center"/>
    </xf>
    <xf numFmtId="173" fontId="255" fillId="0" borderId="52" xfId="0" applyNumberFormat="1" applyFont="1" applyBorder="1"/>
    <xf numFmtId="173" fontId="255" fillId="0" borderId="53" xfId="0" applyNumberFormat="1" applyFont="1" applyBorder="1"/>
    <xf numFmtId="0" fontId="247" fillId="0" borderId="0" xfId="0" applyFont="1" applyAlignment="1">
      <alignment horizontal="right"/>
    </xf>
    <xf numFmtId="0" fontId="9" fillId="0" borderId="0" xfId="0" applyFont="1" applyProtection="1">
      <protection locked="0"/>
    </xf>
    <xf numFmtId="0" fontId="242" fillId="0" borderId="0" xfId="0" applyFont="1" applyProtection="1">
      <protection locked="0"/>
    </xf>
    <xf numFmtId="175" fontId="243" fillId="0" borderId="50" xfId="1876" applyNumberFormat="1" applyFont="1" applyBorder="1" applyAlignment="1">
      <alignment vertical="center" wrapText="1"/>
    </xf>
    <xf numFmtId="175" fontId="243" fillId="0" borderId="80" xfId="1876" applyNumberFormat="1" applyFont="1" applyBorder="1" applyAlignment="1">
      <alignment vertical="center" wrapText="1"/>
    </xf>
    <xf numFmtId="175" fontId="244" fillId="0" borderId="55" xfId="1876" applyNumberFormat="1" applyFont="1" applyBorder="1" applyAlignment="1">
      <alignment vertical="center" wrapText="1"/>
    </xf>
    <xf numFmtId="0" fontId="21" fillId="0" borderId="0" xfId="0" applyFont="1" applyAlignment="1" applyProtection="1">
      <alignment horizontal="center"/>
      <protection locked="0"/>
    </xf>
    <xf numFmtId="173" fontId="245" fillId="0" borderId="63" xfId="0" applyNumberFormat="1" applyFont="1" applyBorder="1" applyAlignment="1">
      <alignment horizontal="center" vertical="center"/>
    </xf>
    <xf numFmtId="173" fontId="0" fillId="0" borderId="87" xfId="0" applyNumberFormat="1" applyBorder="1" applyAlignment="1">
      <alignment horizontal="center" vertical="center"/>
    </xf>
    <xf numFmtId="0" fontId="258" fillId="0" borderId="1" xfId="0" applyFont="1" applyBorder="1" applyAlignment="1">
      <alignment vertical="center"/>
    </xf>
    <xf numFmtId="0" fontId="258" fillId="0" borderId="1" xfId="0" applyFont="1" applyBorder="1" applyAlignment="1">
      <alignment horizontal="center" vertical="center"/>
    </xf>
    <xf numFmtId="174" fontId="258" fillId="0" borderId="1" xfId="0" applyNumberFormat="1" applyFont="1" applyBorder="1" applyAlignment="1">
      <alignment horizontal="center" vertical="center"/>
    </xf>
    <xf numFmtId="173" fontId="258" fillId="0" borderId="50" xfId="0" applyNumberFormat="1" applyFont="1" applyBorder="1" applyAlignment="1">
      <alignment vertical="center"/>
    </xf>
    <xf numFmtId="173" fontId="258" fillId="0" borderId="1" xfId="0" applyNumberFormat="1" applyFont="1" applyBorder="1" applyAlignment="1">
      <alignment vertical="center"/>
    </xf>
    <xf numFmtId="173" fontId="258" fillId="0" borderId="63" xfId="0" applyNumberFormat="1" applyFont="1" applyBorder="1" applyAlignment="1">
      <alignment vertical="center"/>
    </xf>
    <xf numFmtId="323" fontId="0" fillId="0" borderId="1" xfId="0" applyNumberFormat="1" applyBorder="1" applyAlignment="1">
      <alignment horizontal="center" vertical="center" wrapText="1"/>
    </xf>
    <xf numFmtId="173" fontId="0" fillId="0" borderId="1" xfId="0" applyNumberFormat="1" applyBorder="1" applyAlignment="1">
      <alignment vertical="center" wrapText="1"/>
    </xf>
    <xf numFmtId="173" fontId="0" fillId="0" borderId="63" xfId="0" applyNumberFormat="1" applyBorder="1" applyAlignment="1">
      <alignment vertical="center" wrapText="1"/>
    </xf>
    <xf numFmtId="324" fontId="258" fillId="0" borderId="1" xfId="0" applyNumberFormat="1" applyFont="1" applyBorder="1" applyAlignment="1">
      <alignment horizontal="center" vertical="center"/>
    </xf>
    <xf numFmtId="321" fontId="258" fillId="0" borderId="1" xfId="0" applyNumberFormat="1" applyFont="1" applyBorder="1" applyAlignment="1">
      <alignment horizontal="center" vertical="center"/>
    </xf>
    <xf numFmtId="173" fontId="258" fillId="0" borderId="50" xfId="0" applyNumberFormat="1" applyFont="1" applyBorder="1" applyAlignment="1">
      <alignment vertical="center" wrapText="1"/>
    </xf>
    <xf numFmtId="173" fontId="236" fillId="0" borderId="50" xfId="0" applyNumberFormat="1" applyFont="1" applyBorder="1" applyAlignment="1">
      <alignment vertical="center"/>
    </xf>
    <xf numFmtId="175" fontId="243" fillId="0" borderId="1" xfId="1876" applyNumberFormat="1" applyFont="1" applyBorder="1" applyAlignment="1">
      <alignment vertical="center" wrapText="1"/>
    </xf>
    <xf numFmtId="175" fontId="243" fillId="0" borderId="79" xfId="1876" applyNumberFormat="1" applyFont="1" applyBorder="1" applyAlignment="1">
      <alignment vertical="center" wrapText="1"/>
    </xf>
    <xf numFmtId="0" fontId="0" fillId="59" borderId="0" xfId="0" applyFill="1"/>
    <xf numFmtId="0" fontId="267" fillId="59" borderId="0" xfId="0" applyFont="1" applyFill="1" applyAlignment="1">
      <alignment horizontal="center"/>
    </xf>
    <xf numFmtId="0" fontId="268" fillId="59" borderId="0" xfId="0" applyFont="1" applyFill="1"/>
    <xf numFmtId="173" fontId="264" fillId="59" borderId="2" xfId="0" applyNumberFormat="1" applyFont="1" applyFill="1" applyBorder="1" applyAlignment="1">
      <alignment horizontal="center" vertical="center" wrapText="1"/>
    </xf>
    <xf numFmtId="173" fontId="271" fillId="59" borderId="2" xfId="0" applyNumberFormat="1" applyFont="1" applyFill="1" applyBorder="1" applyAlignment="1">
      <alignment horizontal="center" vertical="center" wrapText="1"/>
    </xf>
    <xf numFmtId="173" fontId="272" fillId="59" borderId="2" xfId="0" applyNumberFormat="1" applyFont="1" applyFill="1" applyBorder="1" applyAlignment="1">
      <alignment horizontal="center" vertical="center" wrapText="1"/>
    </xf>
    <xf numFmtId="173" fontId="264" fillId="86" borderId="2" xfId="0" applyNumberFormat="1" applyFont="1" applyFill="1" applyBorder="1" applyAlignment="1">
      <alignment horizontal="center" vertical="center" wrapText="1"/>
    </xf>
    <xf numFmtId="0" fontId="258" fillId="86" borderId="88" xfId="0" applyFont="1" applyFill="1" applyBorder="1" applyAlignment="1">
      <alignment horizontal="center" vertical="center" wrapText="1"/>
    </xf>
    <xf numFmtId="0" fontId="261" fillId="59" borderId="54" xfId="0" applyFont="1" applyFill="1" applyBorder="1" applyAlignment="1">
      <alignment horizontal="center" vertical="center" wrapText="1"/>
    </xf>
    <xf numFmtId="0" fontId="261" fillId="59" borderId="20" xfId="0" applyFont="1" applyFill="1" applyBorder="1" applyAlignment="1">
      <alignment vertical="center" wrapText="1"/>
    </xf>
    <xf numFmtId="0" fontId="261" fillId="59" borderId="20" xfId="0" applyFont="1" applyFill="1" applyBorder="1" applyAlignment="1">
      <alignment horizontal="center" vertical="center" wrapText="1"/>
    </xf>
    <xf numFmtId="175" fontId="259" fillId="59" borderId="20" xfId="1900" applyNumberFormat="1" applyFont="1" applyFill="1" applyBorder="1" applyAlignment="1">
      <alignment vertical="center" wrapText="1"/>
    </xf>
    <xf numFmtId="175" fontId="263" fillId="59" borderId="20" xfId="1900" applyNumberFormat="1" applyFont="1" applyFill="1" applyBorder="1" applyAlignment="1">
      <alignment horizontal="center" vertical="center" wrapText="1"/>
    </xf>
    <xf numFmtId="175" fontId="260" fillId="59" borderId="20" xfId="1900" applyNumberFormat="1" applyFont="1" applyFill="1" applyBorder="1" applyAlignment="1">
      <alignment vertical="center" wrapText="1"/>
    </xf>
    <xf numFmtId="175" fontId="273" fillId="59" borderId="20" xfId="1900" applyNumberFormat="1" applyFont="1" applyFill="1" applyBorder="1" applyAlignment="1">
      <alignment vertical="center" wrapText="1"/>
    </xf>
    <xf numFmtId="175" fontId="274" fillId="59" borderId="20" xfId="1900" applyNumberFormat="1" applyFont="1" applyFill="1" applyBorder="1" applyAlignment="1">
      <alignment horizontal="center" vertical="center" wrapText="1"/>
    </xf>
    <xf numFmtId="175" fontId="269" fillId="59" borderId="20" xfId="1900" applyNumberFormat="1" applyFont="1" applyFill="1" applyBorder="1" applyAlignment="1">
      <alignment vertical="center" wrapText="1"/>
    </xf>
    <xf numFmtId="175" fontId="275" fillId="59" borderId="20" xfId="1900" applyNumberFormat="1" applyFont="1" applyFill="1" applyBorder="1" applyAlignment="1">
      <alignment vertical="center" wrapText="1"/>
    </xf>
    <xf numFmtId="175" fontId="276" fillId="59" borderId="20" xfId="1900" applyNumberFormat="1" applyFont="1" applyFill="1" applyBorder="1" applyAlignment="1">
      <alignment horizontal="center" vertical="center" wrapText="1"/>
    </xf>
    <xf numFmtId="175" fontId="270" fillId="59" borderId="20" xfId="1900" applyNumberFormat="1" applyFont="1" applyFill="1" applyBorder="1" applyAlignment="1">
      <alignment vertical="center" wrapText="1"/>
    </xf>
    <xf numFmtId="175" fontId="0" fillId="59" borderId="55" xfId="0" applyNumberFormat="1" applyFill="1" applyBorder="1" applyAlignment="1">
      <alignment vertical="center" wrapText="1"/>
    </xf>
    <xf numFmtId="175" fontId="0" fillId="86" borderId="55" xfId="0" applyNumberFormat="1" applyFill="1" applyBorder="1" applyAlignment="1">
      <alignment vertical="center" wrapText="1"/>
    </xf>
    <xf numFmtId="0" fontId="261" fillId="59" borderId="49" xfId="0" applyFont="1" applyFill="1" applyBorder="1" applyAlignment="1">
      <alignment horizontal="center" vertical="center" wrapText="1"/>
    </xf>
    <xf numFmtId="0" fontId="261" fillId="59" borderId="1" xfId="0" applyFont="1" applyFill="1" applyBorder="1" applyAlignment="1">
      <alignment vertical="center" wrapText="1"/>
    </xf>
    <xf numFmtId="0" fontId="261" fillId="59" borderId="1" xfId="0" applyFont="1" applyFill="1" applyBorder="1" applyAlignment="1">
      <alignment horizontal="center" vertical="center" wrapText="1"/>
    </xf>
    <xf numFmtId="175" fontId="263" fillId="59" borderId="1" xfId="1900" applyNumberFormat="1" applyFont="1" applyFill="1" applyBorder="1" applyAlignment="1">
      <alignment horizontal="center" vertical="center" wrapText="1"/>
    </xf>
    <xf numFmtId="175" fontId="260" fillId="59" borderId="1" xfId="1900" applyNumberFormat="1" applyFont="1" applyFill="1" applyBorder="1" applyAlignment="1">
      <alignment vertical="center" wrapText="1"/>
    </xf>
    <xf numFmtId="175" fontId="269" fillId="59" borderId="1" xfId="1900" applyNumberFormat="1" applyFont="1" applyFill="1" applyBorder="1" applyAlignment="1">
      <alignment vertical="center" wrapText="1"/>
    </xf>
    <xf numFmtId="175" fontId="276" fillId="59" borderId="1" xfId="1900" applyNumberFormat="1" applyFont="1" applyFill="1" applyBorder="1" applyAlignment="1">
      <alignment horizontal="center" vertical="center" wrapText="1"/>
    </xf>
    <xf numFmtId="175" fontId="270" fillId="59" borderId="1" xfId="1900" applyNumberFormat="1" applyFont="1" applyFill="1" applyBorder="1" applyAlignment="1">
      <alignment vertical="center" wrapText="1"/>
    </xf>
    <xf numFmtId="175" fontId="274" fillId="59" borderId="1" xfId="1900" applyNumberFormat="1" applyFont="1" applyFill="1" applyBorder="1" applyAlignment="1">
      <alignment horizontal="center" vertical="center" wrapText="1"/>
    </xf>
    <xf numFmtId="0" fontId="0" fillId="59" borderId="49" xfId="0" applyFill="1" applyBorder="1" applyAlignment="1">
      <alignment horizontal="center" vertical="center" wrapText="1"/>
    </xf>
    <xf numFmtId="0" fontId="0" fillId="59" borderId="78" xfId="0" applyFill="1" applyBorder="1" applyAlignment="1">
      <alignment horizontal="center" vertical="center" wrapText="1"/>
    </xf>
    <xf numFmtId="0" fontId="261" fillId="59" borderId="79" xfId="0" applyFont="1" applyFill="1" applyBorder="1" applyAlignment="1">
      <alignment vertical="center" wrapText="1"/>
    </xf>
    <xf numFmtId="0" fontId="261" fillId="59" borderId="79" xfId="0" applyFont="1" applyFill="1" applyBorder="1" applyAlignment="1">
      <alignment horizontal="center" vertical="center" wrapText="1"/>
    </xf>
    <xf numFmtId="175" fontId="259" fillId="59" borderId="79" xfId="1900" applyNumberFormat="1" applyFont="1" applyFill="1" applyBorder="1" applyAlignment="1">
      <alignment vertical="center" wrapText="1"/>
    </xf>
    <xf numFmtId="175" fontId="263" fillId="59" borderId="79" xfId="1900" applyNumberFormat="1" applyFont="1" applyFill="1" applyBorder="1" applyAlignment="1">
      <alignment horizontal="center" vertical="center" wrapText="1"/>
    </xf>
    <xf numFmtId="175" fontId="260" fillId="59" borderId="79" xfId="1900" applyNumberFormat="1" applyFont="1" applyFill="1" applyBorder="1" applyAlignment="1">
      <alignment vertical="center" wrapText="1"/>
    </xf>
    <xf numFmtId="175" fontId="273" fillId="59" borderId="79" xfId="1900" applyNumberFormat="1" applyFont="1" applyFill="1" applyBorder="1" applyAlignment="1">
      <alignment vertical="center" wrapText="1"/>
    </xf>
    <xf numFmtId="175" fontId="275" fillId="59" borderId="79" xfId="1900" applyNumberFormat="1" applyFont="1" applyFill="1" applyBorder="1" applyAlignment="1">
      <alignment vertical="center" wrapText="1"/>
    </xf>
    <xf numFmtId="0" fontId="0" fillId="59" borderId="89" xfId="0" applyFill="1" applyBorder="1" applyAlignment="1">
      <alignment horizontal="center" vertical="center" wrapText="1"/>
    </xf>
    <xf numFmtId="0" fontId="268" fillId="86" borderId="90" xfId="0" applyFont="1" applyFill="1" applyBorder="1" applyAlignment="1">
      <alignment vertical="center" wrapText="1"/>
    </xf>
    <xf numFmtId="0" fontId="258" fillId="86" borderId="91" xfId="0" applyFont="1" applyFill="1" applyBorder="1" applyAlignment="1">
      <alignment vertical="center"/>
    </xf>
    <xf numFmtId="175" fontId="258" fillId="86" borderId="92" xfId="0" applyNumberFormat="1" applyFont="1" applyFill="1" applyBorder="1" applyAlignment="1">
      <alignment vertical="center"/>
    </xf>
    <xf numFmtId="0" fontId="0" fillId="86" borderId="92" xfId="0" applyFill="1" applyBorder="1" applyAlignment="1">
      <alignment vertical="center" wrapText="1"/>
    </xf>
    <xf numFmtId="175" fontId="258" fillId="59" borderId="93" xfId="0" applyNumberFormat="1" applyFont="1" applyFill="1" applyBorder="1" applyAlignment="1">
      <alignment vertical="center" wrapText="1"/>
    </xf>
    <xf numFmtId="0" fontId="258" fillId="86" borderId="93" xfId="0" applyFont="1" applyFill="1" applyBorder="1" applyAlignment="1">
      <alignment vertical="center" wrapText="1"/>
    </xf>
    <xf numFmtId="0" fontId="0" fillId="59" borderId="0" xfId="0" applyFill="1" applyAlignment="1">
      <alignment horizontal="center" vertical="center" wrapText="1"/>
    </xf>
    <xf numFmtId="0" fontId="268" fillId="59" borderId="0" xfId="0" applyFont="1" applyFill="1" applyAlignment="1">
      <alignment vertical="center" wrapText="1"/>
    </xf>
    <xf numFmtId="0" fontId="258" fillId="59" borderId="0" xfId="0" applyFont="1" applyFill="1" applyAlignment="1">
      <alignment vertical="center"/>
    </xf>
    <xf numFmtId="175" fontId="258" fillId="59" borderId="0" xfId="0" applyNumberFormat="1" applyFont="1" applyFill="1" applyAlignment="1">
      <alignment vertical="center"/>
    </xf>
    <xf numFmtId="0" fontId="0" fillId="59" borderId="0" xfId="0" applyFill="1" applyAlignment="1">
      <alignment vertical="center" wrapText="1"/>
    </xf>
    <xf numFmtId="175" fontId="258" fillId="59" borderId="0" xfId="0" applyNumberFormat="1" applyFont="1" applyFill="1" applyAlignment="1">
      <alignment vertical="center" wrapText="1"/>
    </xf>
    <xf numFmtId="0" fontId="258" fillId="59" borderId="0" xfId="0" applyFont="1" applyFill="1" applyAlignment="1">
      <alignment vertical="center" wrapText="1"/>
    </xf>
    <xf numFmtId="0" fontId="258" fillId="59" borderId="0" xfId="0" applyFont="1" applyFill="1"/>
    <xf numFmtId="0" fontId="258" fillId="59" borderId="0" xfId="0" applyFont="1" applyFill="1" applyAlignment="1">
      <alignment horizontal="center" vertical="center" wrapText="1"/>
    </xf>
    <xf numFmtId="175" fontId="271" fillId="59" borderId="20" xfId="1900" applyNumberFormat="1" applyFont="1" applyFill="1" applyBorder="1" applyAlignment="1">
      <alignment horizontal="center" vertical="center" wrapText="1"/>
    </xf>
    <xf numFmtId="175" fontId="0" fillId="59" borderId="0" xfId="0" applyNumberFormat="1" applyFill="1" applyAlignment="1">
      <alignment vertical="center" wrapText="1"/>
    </xf>
    <xf numFmtId="0" fontId="261" fillId="59" borderId="78" xfId="0" applyFont="1" applyFill="1" applyBorder="1" applyAlignment="1">
      <alignment horizontal="center" vertical="center" wrapText="1"/>
    </xf>
    <xf numFmtId="175" fontId="271" fillId="59" borderId="79" xfId="1900" applyNumberFormat="1" applyFont="1" applyFill="1" applyBorder="1" applyAlignment="1">
      <alignment horizontal="center" vertical="center" wrapText="1"/>
    </xf>
    <xf numFmtId="175" fontId="276" fillId="59" borderId="79" xfId="1900" applyNumberFormat="1" applyFont="1" applyFill="1" applyBorder="1" applyAlignment="1">
      <alignment horizontal="center" vertical="center" wrapText="1"/>
    </xf>
    <xf numFmtId="175" fontId="270" fillId="59" borderId="79" xfId="1900" applyNumberFormat="1" applyFont="1" applyFill="1" applyBorder="1" applyAlignment="1">
      <alignment vertical="center" wrapText="1"/>
    </xf>
    <xf numFmtId="0" fontId="258" fillId="86" borderId="94" xfId="0" applyFont="1" applyFill="1" applyBorder="1" applyAlignment="1">
      <alignment vertical="center"/>
    </xf>
    <xf numFmtId="175" fontId="258" fillId="86" borderId="23" xfId="0" applyNumberFormat="1" applyFont="1" applyFill="1" applyBorder="1" applyAlignment="1">
      <alignment vertical="center"/>
    </xf>
    <xf numFmtId="0" fontId="0" fillId="86" borderId="23" xfId="0" applyFill="1" applyBorder="1" applyAlignment="1">
      <alignment vertical="center" wrapText="1"/>
    </xf>
    <xf numFmtId="175" fontId="0" fillId="59" borderId="83" xfId="0" applyNumberFormat="1" applyFill="1" applyBorder="1" applyAlignment="1">
      <alignment vertical="center" wrapText="1"/>
    </xf>
    <xf numFmtId="0" fontId="0" fillId="59" borderId="0" xfId="0" applyFill="1" applyAlignment="1">
      <alignment horizontal="center"/>
    </xf>
    <xf numFmtId="3" fontId="250" fillId="89" borderId="0" xfId="0" applyNumberFormat="1" applyFont="1" applyFill="1" applyAlignment="1">
      <alignment horizontal="center"/>
    </xf>
    <xf numFmtId="0" fontId="6" fillId="0" borderId="1" xfId="0" applyFont="1" applyBorder="1" applyAlignment="1">
      <alignment vertical="center"/>
    </xf>
    <xf numFmtId="0" fontId="6" fillId="0" borderId="1" xfId="0" applyFont="1" applyBorder="1" applyAlignment="1">
      <alignment horizontal="center" vertical="center"/>
    </xf>
    <xf numFmtId="173" fontId="6" fillId="0" borderId="1" xfId="0" applyNumberFormat="1" applyFont="1" applyBorder="1" applyAlignment="1">
      <alignment vertical="center"/>
    </xf>
    <xf numFmtId="173" fontId="6" fillId="0" borderId="50" xfId="0" applyNumberFormat="1" applyFont="1" applyBorder="1" applyAlignment="1">
      <alignment vertical="center"/>
    </xf>
    <xf numFmtId="0" fontId="6" fillId="0" borderId="0" xfId="0" applyFont="1" applyAlignment="1">
      <alignment vertical="center"/>
    </xf>
    <xf numFmtId="173" fontId="21" fillId="0" borderId="50" xfId="0" applyNumberFormat="1" applyFont="1" applyBorder="1" applyAlignment="1">
      <alignment vertical="center"/>
    </xf>
    <xf numFmtId="0" fontId="0" fillId="90" borderId="20" xfId="0" applyFill="1" applyBorder="1" applyAlignment="1">
      <alignment vertical="center"/>
    </xf>
    <xf numFmtId="0" fontId="0" fillId="90" borderId="20" xfId="0" applyFill="1" applyBorder="1" applyAlignment="1">
      <alignment horizontal="center" vertical="center"/>
    </xf>
    <xf numFmtId="173" fontId="0" fillId="90" borderId="20" xfId="0" applyNumberFormat="1" applyFill="1" applyBorder="1" applyAlignment="1">
      <alignment vertical="center"/>
    </xf>
    <xf numFmtId="173" fontId="0" fillId="90" borderId="55" xfId="0" applyNumberFormat="1" applyFill="1" applyBorder="1" applyAlignment="1">
      <alignment vertical="center"/>
    </xf>
    <xf numFmtId="0" fontId="0" fillId="90" borderId="0" xfId="0" applyFill="1" applyAlignment="1">
      <alignment vertical="center"/>
    </xf>
    <xf numFmtId="0" fontId="0" fillId="90" borderId="49" xfId="0" applyFill="1" applyBorder="1" applyAlignment="1">
      <alignment horizontal="center" vertical="center"/>
    </xf>
    <xf numFmtId="0" fontId="0" fillId="90" borderId="1" xfId="0" applyFill="1" applyBorder="1" applyAlignment="1">
      <alignment vertical="center"/>
    </xf>
    <xf numFmtId="0" fontId="0" fillId="90" borderId="1" xfId="0" applyFill="1" applyBorder="1" applyAlignment="1">
      <alignment horizontal="center" vertical="center"/>
    </xf>
    <xf numFmtId="173" fontId="0" fillId="90" borderId="1" xfId="0" applyNumberFormat="1" applyFill="1" applyBorder="1" applyAlignment="1">
      <alignment vertical="center"/>
    </xf>
    <xf numFmtId="173" fontId="0" fillId="90" borderId="50" xfId="0" applyNumberFormat="1" applyFill="1" applyBorder="1" applyAlignment="1">
      <alignment vertical="center"/>
    </xf>
    <xf numFmtId="0" fontId="0" fillId="90" borderId="1" xfId="0" applyFill="1" applyBorder="1" applyAlignment="1">
      <alignment vertical="center" wrapText="1"/>
    </xf>
    <xf numFmtId="174" fontId="0" fillId="90" borderId="1" xfId="0" applyNumberFormat="1" applyFill="1" applyBorder="1" applyAlignment="1">
      <alignment horizontal="center" vertical="center"/>
    </xf>
    <xf numFmtId="173" fontId="0" fillId="90" borderId="63" xfId="0" applyNumberFormat="1" applyFill="1" applyBorder="1" applyAlignment="1">
      <alignment horizontal="center" vertical="center"/>
    </xf>
    <xf numFmtId="173" fontId="0" fillId="90" borderId="0" xfId="0" applyNumberFormat="1" applyFill="1" applyAlignment="1">
      <alignment vertical="center"/>
    </xf>
    <xf numFmtId="173" fontId="0" fillId="90" borderId="0" xfId="0" applyNumberFormat="1" applyFill="1" applyAlignment="1">
      <alignment horizontal="center" vertical="center" wrapText="1"/>
    </xf>
    <xf numFmtId="174" fontId="0" fillId="90" borderId="20" xfId="0" applyNumberFormat="1" applyFill="1" applyBorder="1" applyAlignment="1">
      <alignment horizontal="center" vertical="center"/>
    </xf>
    <xf numFmtId="173" fontId="0" fillId="90" borderId="70" xfId="0" applyNumberFormat="1" applyFill="1" applyBorder="1" applyAlignment="1">
      <alignment horizontal="center" vertical="center"/>
    </xf>
    <xf numFmtId="0" fontId="245" fillId="90" borderId="20" xfId="0" applyFont="1" applyFill="1" applyBorder="1" applyAlignment="1">
      <alignment vertical="center"/>
    </xf>
    <xf numFmtId="0" fontId="245" fillId="90" borderId="20" xfId="0" applyFont="1" applyFill="1" applyBorder="1" applyAlignment="1">
      <alignment horizontal="center" vertical="center"/>
    </xf>
    <xf numFmtId="174" fontId="245" fillId="90" borderId="20" xfId="0" applyNumberFormat="1" applyFont="1" applyFill="1" applyBorder="1" applyAlignment="1">
      <alignment horizontal="center" vertical="center"/>
    </xf>
    <xf numFmtId="173" fontId="245" fillId="90" borderId="20" xfId="0" applyNumberFormat="1" applyFont="1" applyFill="1" applyBorder="1" applyAlignment="1">
      <alignment vertical="center"/>
    </xf>
    <xf numFmtId="173" fontId="245" fillId="90" borderId="70" xfId="0" applyNumberFormat="1" applyFont="1" applyFill="1" applyBorder="1" applyAlignment="1">
      <alignment horizontal="center" vertical="center"/>
    </xf>
    <xf numFmtId="173" fontId="245" fillId="90" borderId="55" xfId="0" applyNumberFormat="1" applyFont="1" applyFill="1" applyBorder="1" applyAlignment="1">
      <alignment vertical="center"/>
    </xf>
    <xf numFmtId="173" fontId="245" fillId="90" borderId="0" xfId="0" applyNumberFormat="1" applyFont="1" applyFill="1" applyAlignment="1">
      <alignment vertical="center"/>
    </xf>
    <xf numFmtId="0" fontId="245" fillId="90" borderId="0" xfId="0" applyFont="1" applyFill="1" applyAlignment="1">
      <alignment vertical="center"/>
    </xf>
    <xf numFmtId="0" fontId="0" fillId="0" borderId="20" xfId="0" applyBorder="1" applyAlignment="1">
      <alignment vertical="center" wrapText="1"/>
    </xf>
    <xf numFmtId="175" fontId="70" fillId="0" borderId="0" xfId="1899" applyNumberFormat="1" applyFont="1" applyProtection="1">
      <protection hidden="1"/>
    </xf>
    <xf numFmtId="0" fontId="70" fillId="0" borderId="0" xfId="2823" applyProtection="1">
      <protection hidden="1"/>
    </xf>
    <xf numFmtId="0" fontId="265" fillId="0" borderId="0" xfId="2823" applyFont="1" applyProtection="1">
      <protection hidden="1"/>
    </xf>
    <xf numFmtId="0" fontId="70" fillId="0" borderId="0" xfId="2823" applyAlignment="1" applyProtection="1">
      <alignment vertical="center" wrapText="1"/>
      <protection hidden="1"/>
    </xf>
    <xf numFmtId="0" fontId="4" fillId="86" borderId="0" xfId="2823" applyFont="1" applyFill="1" applyProtection="1">
      <protection hidden="1"/>
    </xf>
    <xf numFmtId="0" fontId="4" fillId="86" borderId="0" xfId="2204" applyFont="1" applyFill="1" applyProtection="1">
      <protection hidden="1"/>
    </xf>
    <xf numFmtId="175" fontId="4" fillId="86" borderId="0" xfId="2823" applyNumberFormat="1" applyFont="1" applyFill="1" applyProtection="1">
      <protection hidden="1"/>
    </xf>
    <xf numFmtId="171" fontId="4" fillId="86" borderId="0" xfId="2823" applyNumberFormat="1" applyFont="1" applyFill="1" applyProtection="1">
      <protection hidden="1"/>
    </xf>
    <xf numFmtId="0" fontId="4" fillId="86" borderId="0" xfId="2823" applyFont="1" applyFill="1" applyAlignment="1" applyProtection="1">
      <alignment vertical="center" wrapText="1"/>
      <protection hidden="1"/>
    </xf>
    <xf numFmtId="175" fontId="70" fillId="0" borderId="0" xfId="1899" applyNumberFormat="1" applyFont="1" applyProtection="1">
      <protection locked="0"/>
    </xf>
    <xf numFmtId="0" fontId="280" fillId="0" borderId="49" xfId="0" applyFont="1" applyBorder="1" applyAlignment="1">
      <alignment horizontal="center" vertical="center"/>
    </xf>
    <xf numFmtId="0" fontId="281" fillId="0" borderId="1" xfId="0" applyFont="1" applyBorder="1" applyAlignment="1">
      <alignment vertical="center"/>
    </xf>
    <xf numFmtId="0" fontId="281" fillId="0" borderId="1" xfId="0" applyFont="1" applyBorder="1" applyAlignment="1">
      <alignment horizontal="center" vertical="center"/>
    </xf>
    <xf numFmtId="0" fontId="281" fillId="0" borderId="0" xfId="0" applyFont="1" applyAlignment="1">
      <alignment vertical="center"/>
    </xf>
    <xf numFmtId="0" fontId="235" fillId="0" borderId="0" xfId="2824" applyFont="1" applyAlignment="1" applyProtection="1">
      <alignment horizontal="left"/>
      <protection hidden="1"/>
    </xf>
    <xf numFmtId="0" fontId="6" fillId="0" borderId="0" xfId="2824" applyProtection="1">
      <protection hidden="1"/>
    </xf>
    <xf numFmtId="0" fontId="6" fillId="0" borderId="0" xfId="2824" applyAlignment="1" applyProtection="1">
      <alignment horizontal="center"/>
      <protection hidden="1"/>
    </xf>
    <xf numFmtId="311" fontId="21" fillId="0" borderId="73" xfId="2824" applyNumberFormat="1" applyFont="1" applyBorder="1" applyProtection="1">
      <protection hidden="1"/>
    </xf>
    <xf numFmtId="312" fontId="21" fillId="0" borderId="0" xfId="2824" applyNumberFormat="1" applyFont="1" applyProtection="1">
      <protection hidden="1"/>
    </xf>
    <xf numFmtId="0" fontId="22" fillId="0" borderId="0" xfId="2824" applyFont="1" applyProtection="1">
      <protection hidden="1"/>
    </xf>
    <xf numFmtId="178" fontId="22" fillId="0" borderId="0" xfId="2824" applyNumberFormat="1" applyFont="1" applyProtection="1">
      <protection hidden="1"/>
    </xf>
    <xf numFmtId="313" fontId="21" fillId="0" borderId="73" xfId="2824" applyNumberFormat="1" applyFont="1" applyBorder="1" applyProtection="1">
      <protection hidden="1"/>
    </xf>
    <xf numFmtId="313" fontId="21" fillId="0" borderId="0" xfId="2824" applyNumberFormat="1" applyFont="1" applyProtection="1">
      <protection hidden="1"/>
    </xf>
    <xf numFmtId="178" fontId="6" fillId="0" borderId="0" xfId="1899" applyNumberFormat="1" applyFont="1" applyFill="1" applyAlignment="1" applyProtection="1">
      <alignment horizontal="center"/>
      <protection hidden="1"/>
    </xf>
    <xf numFmtId="313" fontId="6" fillId="0" borderId="0" xfId="2824" applyNumberFormat="1" applyProtection="1">
      <protection hidden="1"/>
    </xf>
    <xf numFmtId="175" fontId="6" fillId="0" borderId="0" xfId="1899" applyNumberFormat="1" applyFont="1" applyFill="1" applyProtection="1">
      <protection hidden="1"/>
    </xf>
    <xf numFmtId="0" fontId="21" fillId="0" borderId="0" xfId="2824" applyFont="1" applyAlignment="1" applyProtection="1">
      <alignment horizontal="center"/>
      <protection hidden="1"/>
    </xf>
    <xf numFmtId="0" fontId="278" fillId="0" borderId="0" xfId="0" applyFont="1"/>
    <xf numFmtId="171" fontId="6" fillId="0" borderId="0" xfId="1899" applyFont="1" applyFill="1" applyProtection="1">
      <protection hidden="1"/>
    </xf>
    <xf numFmtId="0" fontId="21" fillId="86" borderId="2" xfId="2824" applyFont="1" applyFill="1" applyBorder="1" applyAlignment="1" applyProtection="1">
      <alignment horizontal="center" vertical="center"/>
      <protection hidden="1"/>
    </xf>
    <xf numFmtId="0" fontId="21" fillId="86" borderId="74" xfId="2824" applyFont="1" applyFill="1" applyBorder="1" applyAlignment="1" applyProtection="1">
      <alignment horizontal="center" vertical="center"/>
      <protection hidden="1"/>
    </xf>
    <xf numFmtId="0" fontId="3" fillId="0" borderId="54" xfId="2824" applyFont="1" applyBorder="1" applyAlignment="1" applyProtection="1">
      <alignment horizontal="center"/>
      <protection hidden="1"/>
    </xf>
    <xf numFmtId="0" fontId="3" fillId="0" borderId="20" xfId="2824" applyFont="1" applyBorder="1" applyProtection="1">
      <protection hidden="1"/>
    </xf>
    <xf numFmtId="176" fontId="236" fillId="86" borderId="1" xfId="2824" applyNumberFormat="1" applyFont="1" applyFill="1" applyBorder="1" applyProtection="1">
      <protection hidden="1"/>
    </xf>
    <xf numFmtId="176" fontId="236" fillId="0" borderId="1" xfId="2824" applyNumberFormat="1" applyFont="1" applyBorder="1" applyAlignment="1" applyProtection="1">
      <alignment horizontal="center"/>
      <protection hidden="1"/>
    </xf>
    <xf numFmtId="175" fontId="236" fillId="0" borderId="1" xfId="1899" applyNumberFormat="1" applyFont="1" applyBorder="1" applyProtection="1">
      <protection hidden="1"/>
    </xf>
    <xf numFmtId="0" fontId="3" fillId="0" borderId="1" xfId="2824" applyFont="1" applyBorder="1" applyProtection="1">
      <protection hidden="1"/>
    </xf>
    <xf numFmtId="0" fontId="3" fillId="0" borderId="20" xfId="2824" applyFont="1" applyBorder="1" applyAlignment="1" applyProtection="1">
      <alignment horizontal="center"/>
      <protection hidden="1"/>
    </xf>
    <xf numFmtId="176" fontId="3" fillId="0" borderId="20" xfId="2824" applyNumberFormat="1" applyFont="1" applyBorder="1" applyAlignment="1" applyProtection="1">
      <alignment horizontal="center"/>
      <protection hidden="1"/>
    </xf>
    <xf numFmtId="0" fontId="3" fillId="0" borderId="55" xfId="2824" applyFont="1" applyBorder="1" applyAlignment="1" applyProtection="1">
      <alignment horizontal="center"/>
      <protection hidden="1"/>
    </xf>
    <xf numFmtId="0" fontId="3" fillId="0" borderId="0" xfId="2824" applyFont="1" applyProtection="1">
      <protection hidden="1"/>
    </xf>
    <xf numFmtId="0" fontId="3" fillId="0" borderId="49" xfId="2824" applyFont="1" applyBorder="1" applyAlignment="1" applyProtection="1">
      <alignment horizontal="center"/>
      <protection hidden="1"/>
    </xf>
    <xf numFmtId="0" fontId="3" fillId="0" borderId="1" xfId="2824" applyFont="1" applyBorder="1" applyAlignment="1" applyProtection="1">
      <alignment horizontal="center"/>
      <protection hidden="1"/>
    </xf>
    <xf numFmtId="0" fontId="3" fillId="0" borderId="50" xfId="2824" applyFont="1" applyBorder="1" applyAlignment="1" applyProtection="1">
      <alignment horizontal="center"/>
      <protection hidden="1"/>
    </xf>
    <xf numFmtId="176" fontId="3" fillId="0" borderId="1" xfId="2824" applyNumberFormat="1" applyFont="1" applyBorder="1" applyAlignment="1" applyProtection="1">
      <alignment horizontal="center"/>
      <protection hidden="1"/>
    </xf>
    <xf numFmtId="176" fontId="259" fillId="0" borderId="49" xfId="2824" applyNumberFormat="1" applyFont="1" applyBorder="1" applyAlignment="1" applyProtection="1">
      <alignment horizontal="center"/>
      <protection hidden="1"/>
    </xf>
    <xf numFmtId="176" fontId="259" fillId="0" borderId="1" xfId="2824" applyNumberFormat="1" applyFont="1" applyBorder="1" applyProtection="1">
      <protection hidden="1"/>
    </xf>
    <xf numFmtId="178" fontId="260" fillId="0" borderId="1" xfId="1899" applyNumberFormat="1" applyFont="1" applyBorder="1" applyAlignment="1" applyProtection="1">
      <alignment horizontal="center"/>
      <protection hidden="1"/>
    </xf>
    <xf numFmtId="176" fontId="260" fillId="0" borderId="1" xfId="2824" applyNumberFormat="1" applyFont="1" applyBorder="1" applyAlignment="1" applyProtection="1">
      <alignment horizontal="center"/>
      <protection hidden="1"/>
    </xf>
    <xf numFmtId="175" fontId="260" fillId="0" borderId="1" xfId="1899" applyNumberFormat="1" applyFont="1" applyBorder="1" applyProtection="1">
      <protection hidden="1"/>
    </xf>
    <xf numFmtId="0" fontId="259" fillId="0" borderId="1" xfId="2824" applyFont="1" applyBorder="1" applyProtection="1">
      <protection hidden="1"/>
    </xf>
    <xf numFmtId="0" fontId="259" fillId="0" borderId="1" xfId="2824" applyFont="1" applyBorder="1" applyAlignment="1" applyProtection="1">
      <alignment horizontal="center"/>
      <protection hidden="1"/>
    </xf>
    <xf numFmtId="0" fontId="259" fillId="0" borderId="50" xfId="2824" applyFont="1" applyBorder="1" applyAlignment="1" applyProtection="1">
      <alignment horizontal="center"/>
      <protection hidden="1"/>
    </xf>
    <xf numFmtId="0" fontId="259" fillId="0" borderId="0" xfId="2824" applyFont="1" applyProtection="1">
      <protection hidden="1"/>
    </xf>
    <xf numFmtId="176" fontId="285" fillId="0" borderId="49" xfId="2824" applyNumberFormat="1" applyFont="1" applyBorder="1" applyAlignment="1" applyProtection="1">
      <alignment horizontal="center"/>
      <protection hidden="1"/>
    </xf>
    <xf numFmtId="176" fontId="285" fillId="0" borderId="1" xfId="2824" applyNumberFormat="1" applyFont="1" applyBorder="1" applyProtection="1">
      <protection hidden="1"/>
    </xf>
    <xf numFmtId="178" fontId="286" fillId="0" borderId="1" xfId="1899" applyNumberFormat="1" applyFont="1" applyBorder="1" applyAlignment="1" applyProtection="1">
      <alignment horizontal="center"/>
      <protection hidden="1"/>
    </xf>
    <xf numFmtId="176" fontId="286" fillId="0" borderId="1" xfId="2824" applyNumberFormat="1" applyFont="1" applyBorder="1" applyAlignment="1" applyProtection="1">
      <alignment horizontal="center"/>
      <protection hidden="1"/>
    </xf>
    <xf numFmtId="175" fontId="286" fillId="0" borderId="1" xfId="1899" applyNumberFormat="1" applyFont="1" applyBorder="1" applyAlignment="1" applyProtection="1">
      <alignment horizontal="center"/>
      <protection hidden="1"/>
    </xf>
    <xf numFmtId="0" fontId="285" fillId="0" borderId="1" xfId="2824" applyFont="1" applyBorder="1" applyProtection="1">
      <protection hidden="1"/>
    </xf>
    <xf numFmtId="0" fontId="285" fillId="0" borderId="1" xfId="2824" applyFont="1" applyBorder="1" applyAlignment="1" applyProtection="1">
      <alignment horizontal="center"/>
      <protection hidden="1"/>
    </xf>
    <xf numFmtId="0" fontId="285" fillId="0" borderId="50" xfId="2824" applyFont="1" applyBorder="1" applyAlignment="1" applyProtection="1">
      <alignment horizontal="center"/>
      <protection hidden="1"/>
    </xf>
    <xf numFmtId="0" fontId="285" fillId="0" borderId="0" xfId="2824" applyFont="1" applyProtection="1">
      <protection hidden="1"/>
    </xf>
    <xf numFmtId="176" fontId="287" fillId="0" borderId="49" xfId="2824" applyNumberFormat="1" applyFont="1" applyBorder="1" applyAlignment="1" applyProtection="1">
      <alignment horizontal="center"/>
      <protection hidden="1"/>
    </xf>
    <xf numFmtId="176" fontId="287" fillId="0" borderId="1" xfId="2824" applyNumberFormat="1" applyFont="1" applyBorder="1" applyProtection="1">
      <protection hidden="1"/>
    </xf>
    <xf numFmtId="176" fontId="288" fillId="0" borderId="1" xfId="2824" applyNumberFormat="1" applyFont="1" applyBorder="1" applyAlignment="1" applyProtection="1">
      <alignment horizontal="right"/>
      <protection hidden="1"/>
    </xf>
    <xf numFmtId="176" fontId="288" fillId="0" borderId="1" xfId="2824" applyNumberFormat="1" applyFont="1" applyBorder="1" applyAlignment="1" applyProtection="1">
      <alignment horizontal="center"/>
      <protection hidden="1"/>
    </xf>
    <xf numFmtId="175" fontId="288" fillId="0" borderId="1" xfId="1899" applyNumberFormat="1" applyFont="1" applyBorder="1" applyProtection="1">
      <protection hidden="1"/>
    </xf>
    <xf numFmtId="0" fontId="287" fillId="0" borderId="1" xfId="2824" applyFont="1" applyBorder="1" applyProtection="1">
      <protection hidden="1"/>
    </xf>
    <xf numFmtId="178" fontId="287" fillId="0" borderId="1" xfId="1899" applyNumberFormat="1" applyFont="1" applyBorder="1" applyAlignment="1" applyProtection="1">
      <alignment horizontal="center"/>
      <protection hidden="1"/>
    </xf>
    <xf numFmtId="0" fontId="287" fillId="0" borderId="1" xfId="2824" applyFont="1" applyBorder="1" applyAlignment="1" applyProtection="1">
      <alignment horizontal="center"/>
      <protection hidden="1"/>
    </xf>
    <xf numFmtId="0" fontId="287" fillId="0" borderId="50" xfId="2824" applyFont="1" applyBorder="1" applyAlignment="1" applyProtection="1">
      <alignment horizontal="center"/>
      <protection hidden="1"/>
    </xf>
    <xf numFmtId="0" fontId="287" fillId="0" borderId="0" xfId="2824" applyFont="1" applyProtection="1">
      <protection hidden="1"/>
    </xf>
    <xf numFmtId="178" fontId="259" fillId="0" borderId="1" xfId="1899" applyNumberFormat="1" applyFont="1" applyBorder="1" applyAlignment="1" applyProtection="1">
      <alignment horizontal="center"/>
      <protection hidden="1"/>
    </xf>
    <xf numFmtId="176" fontId="273" fillId="0" borderId="49" xfId="2824" applyNumberFormat="1" applyFont="1" applyBorder="1" applyAlignment="1" applyProtection="1">
      <alignment horizontal="center"/>
      <protection hidden="1"/>
    </xf>
    <xf numFmtId="176" fontId="273" fillId="0" borderId="1" xfId="2824" applyNumberFormat="1" applyFont="1" applyBorder="1" applyProtection="1">
      <protection hidden="1"/>
    </xf>
    <xf numFmtId="176" fontId="269" fillId="0" borderId="1" xfId="2824" quotePrefix="1" applyNumberFormat="1" applyFont="1" applyBorder="1" applyProtection="1">
      <protection hidden="1"/>
    </xf>
    <xf numFmtId="176" fontId="269" fillId="0" borderId="1" xfId="2824" applyNumberFormat="1" applyFont="1" applyBorder="1" applyAlignment="1" applyProtection="1">
      <alignment horizontal="center"/>
      <protection hidden="1"/>
    </xf>
    <xf numFmtId="175" fontId="269" fillId="0" borderId="1" xfId="1899" applyNumberFormat="1" applyFont="1" applyBorder="1" applyProtection="1">
      <protection hidden="1"/>
    </xf>
    <xf numFmtId="0" fontId="273" fillId="0" borderId="1" xfId="2824" applyFont="1" applyBorder="1" applyProtection="1">
      <protection hidden="1"/>
    </xf>
    <xf numFmtId="0" fontId="273" fillId="0" borderId="1" xfId="2824" applyFont="1" applyBorder="1" applyAlignment="1" applyProtection="1">
      <alignment horizontal="center"/>
      <protection hidden="1"/>
    </xf>
    <xf numFmtId="176" fontId="273" fillId="0" borderId="1" xfId="2824" applyNumberFormat="1" applyFont="1" applyBorder="1" applyAlignment="1" applyProtection="1">
      <alignment horizontal="center"/>
      <protection hidden="1"/>
    </xf>
    <xf numFmtId="0" fontId="273" fillId="0" borderId="50" xfId="2824" applyFont="1" applyBorder="1" applyAlignment="1" applyProtection="1">
      <alignment horizontal="center"/>
      <protection hidden="1"/>
    </xf>
    <xf numFmtId="0" fontId="273" fillId="0" borderId="0" xfId="2824" applyFont="1" applyProtection="1">
      <protection hidden="1"/>
    </xf>
    <xf numFmtId="176" fontId="289" fillId="0" borderId="49" xfId="2824" applyNumberFormat="1" applyFont="1" applyBorder="1" applyAlignment="1" applyProtection="1">
      <alignment horizontal="center"/>
      <protection hidden="1"/>
    </xf>
    <xf numFmtId="176" fontId="289" fillId="0" borderId="1" xfId="2824" applyNumberFormat="1" applyFont="1" applyBorder="1" applyProtection="1">
      <protection hidden="1"/>
    </xf>
    <xf numFmtId="176" fontId="290" fillId="0" borderId="1" xfId="2824" quotePrefix="1" applyNumberFormat="1" applyFont="1" applyBorder="1" applyProtection="1">
      <protection hidden="1"/>
    </xf>
    <xf numFmtId="176" fontId="290" fillId="0" borderId="1" xfId="2824" applyNumberFormat="1" applyFont="1" applyBorder="1" applyAlignment="1" applyProtection="1">
      <alignment horizontal="center"/>
      <protection hidden="1"/>
    </xf>
    <xf numFmtId="175" fontId="290" fillId="0" borderId="1" xfId="1899" applyNumberFormat="1" applyFont="1" applyBorder="1" applyProtection="1">
      <protection hidden="1"/>
    </xf>
    <xf numFmtId="0" fontId="289" fillId="0" borderId="1" xfId="2824" applyFont="1" applyBorder="1" applyProtection="1">
      <protection hidden="1"/>
    </xf>
    <xf numFmtId="0" fontId="289" fillId="0" borderId="1" xfId="2824" applyFont="1" applyBorder="1" applyAlignment="1" applyProtection="1">
      <alignment horizontal="center"/>
      <protection hidden="1"/>
    </xf>
    <xf numFmtId="0" fontId="289" fillId="0" borderId="50" xfId="2824" applyFont="1" applyBorder="1" applyAlignment="1" applyProtection="1">
      <alignment horizontal="center"/>
      <protection hidden="1"/>
    </xf>
    <xf numFmtId="0" fontId="289" fillId="0" borderId="0" xfId="2824" applyFont="1" applyProtection="1">
      <protection hidden="1"/>
    </xf>
    <xf numFmtId="176" fontId="291" fillId="88" borderId="49" xfId="2824" applyNumberFormat="1" applyFont="1" applyFill="1" applyBorder="1" applyAlignment="1" applyProtection="1">
      <alignment horizontal="center"/>
      <protection hidden="1"/>
    </xf>
    <xf numFmtId="176" fontId="291" fillId="88" borderId="1" xfId="2824" applyNumberFormat="1" applyFont="1" applyFill="1" applyBorder="1" applyProtection="1">
      <protection hidden="1"/>
    </xf>
    <xf numFmtId="176" fontId="292" fillId="88" borderId="1" xfId="2824" applyNumberFormat="1" applyFont="1" applyFill="1" applyBorder="1" applyAlignment="1" applyProtection="1">
      <alignment horizontal="right"/>
      <protection hidden="1"/>
    </xf>
    <xf numFmtId="176" fontId="292" fillId="88" borderId="1" xfId="2824" applyNumberFormat="1" applyFont="1" applyFill="1" applyBorder="1" applyAlignment="1" applyProtection="1">
      <alignment horizontal="center"/>
      <protection hidden="1"/>
    </xf>
    <xf numFmtId="175" fontId="292" fillId="88" borderId="1" xfId="1899" applyNumberFormat="1" applyFont="1" applyFill="1" applyBorder="1" applyProtection="1">
      <protection hidden="1"/>
    </xf>
    <xf numFmtId="0" fontId="291" fillId="88" borderId="1" xfId="2824" applyFont="1" applyFill="1" applyBorder="1" applyProtection="1">
      <protection hidden="1"/>
    </xf>
    <xf numFmtId="0" fontId="291" fillId="88" borderId="1" xfId="2824" applyFont="1" applyFill="1" applyBorder="1" applyAlignment="1" applyProtection="1">
      <alignment horizontal="center"/>
      <protection hidden="1"/>
    </xf>
    <xf numFmtId="0" fontId="291" fillId="88" borderId="50" xfId="2824" applyFont="1" applyFill="1" applyBorder="1" applyAlignment="1" applyProtection="1">
      <alignment horizontal="center"/>
      <protection hidden="1"/>
    </xf>
    <xf numFmtId="0" fontId="291" fillId="88" borderId="0" xfId="2824" applyFont="1" applyFill="1" applyProtection="1">
      <protection hidden="1"/>
    </xf>
    <xf numFmtId="176" fontId="293" fillId="88" borderId="49" xfId="2824" applyNumberFormat="1" applyFont="1" applyFill="1" applyBorder="1" applyAlignment="1" applyProtection="1">
      <alignment horizontal="center"/>
      <protection hidden="1"/>
    </xf>
    <xf numFmtId="176" fontId="293" fillId="88" borderId="1" xfId="2824" applyNumberFormat="1" applyFont="1" applyFill="1" applyBorder="1" applyProtection="1">
      <protection hidden="1"/>
    </xf>
    <xf numFmtId="176" fontId="294" fillId="88" borderId="1" xfId="2824" applyNumberFormat="1" applyFont="1" applyFill="1" applyBorder="1" applyAlignment="1" applyProtection="1">
      <alignment horizontal="right"/>
      <protection hidden="1"/>
    </xf>
    <xf numFmtId="176" fontId="294" fillId="88" borderId="1" xfId="2824" applyNumberFormat="1" applyFont="1" applyFill="1" applyBorder="1" applyAlignment="1" applyProtection="1">
      <alignment horizontal="center"/>
      <protection hidden="1"/>
    </xf>
    <xf numFmtId="175" fontId="294" fillId="88" borderId="1" xfId="1899" applyNumberFormat="1" applyFont="1" applyFill="1" applyBorder="1" applyProtection="1">
      <protection hidden="1"/>
    </xf>
    <xf numFmtId="0" fontId="293" fillId="88" borderId="1" xfId="2824" applyFont="1" applyFill="1" applyBorder="1" applyProtection="1">
      <protection hidden="1"/>
    </xf>
    <xf numFmtId="0" fontId="293" fillId="88" borderId="1" xfId="2824" applyFont="1" applyFill="1" applyBorder="1" applyAlignment="1" applyProtection="1">
      <alignment horizontal="center"/>
      <protection hidden="1"/>
    </xf>
    <xf numFmtId="0" fontId="293" fillId="88" borderId="50" xfId="2824" applyFont="1" applyFill="1" applyBorder="1" applyAlignment="1" applyProtection="1">
      <alignment horizontal="center"/>
      <protection hidden="1"/>
    </xf>
    <xf numFmtId="0" fontId="293" fillId="88" borderId="0" xfId="2824" applyFont="1" applyFill="1" applyProtection="1">
      <protection hidden="1"/>
    </xf>
    <xf numFmtId="176" fontId="285" fillId="88" borderId="49" xfId="2824" applyNumberFormat="1" applyFont="1" applyFill="1" applyBorder="1" applyAlignment="1" applyProtection="1">
      <alignment horizontal="center"/>
      <protection hidden="1"/>
    </xf>
    <xf numFmtId="176" fontId="285" fillId="88" borderId="1" xfId="2824" applyNumberFormat="1" applyFont="1" applyFill="1" applyBorder="1" applyProtection="1">
      <protection hidden="1"/>
    </xf>
    <xf numFmtId="176" fontId="286" fillId="88" borderId="1" xfId="2824" applyNumberFormat="1" applyFont="1" applyFill="1" applyBorder="1" applyAlignment="1" applyProtection="1">
      <alignment horizontal="right"/>
      <protection hidden="1"/>
    </xf>
    <xf numFmtId="176" fontId="286" fillId="88" borderId="1" xfId="2824" applyNumberFormat="1" applyFont="1" applyFill="1" applyBorder="1" applyAlignment="1" applyProtection="1">
      <alignment horizontal="center"/>
      <protection hidden="1"/>
    </xf>
    <xf numFmtId="175" fontId="286" fillId="88" borderId="1" xfId="1899" applyNumberFormat="1" applyFont="1" applyFill="1" applyBorder="1" applyProtection="1">
      <protection hidden="1"/>
    </xf>
    <xf numFmtId="0" fontId="285" fillId="88" borderId="1" xfId="2824" applyFont="1" applyFill="1" applyBorder="1" applyProtection="1">
      <protection hidden="1"/>
    </xf>
    <xf numFmtId="0" fontId="285" fillId="88" borderId="1" xfId="2824" applyFont="1" applyFill="1" applyBorder="1" applyAlignment="1" applyProtection="1">
      <alignment horizontal="center"/>
      <protection hidden="1"/>
    </xf>
    <xf numFmtId="176" fontId="285" fillId="88" borderId="1" xfId="2824" applyNumberFormat="1" applyFont="1" applyFill="1" applyBorder="1" applyAlignment="1" applyProtection="1">
      <alignment horizontal="center"/>
      <protection hidden="1"/>
    </xf>
    <xf numFmtId="0" fontId="285" fillId="88" borderId="50" xfId="2824" applyFont="1" applyFill="1" applyBorder="1" applyAlignment="1" applyProtection="1">
      <alignment horizontal="center"/>
      <protection hidden="1"/>
    </xf>
    <xf numFmtId="0" fontId="285" fillId="88" borderId="0" xfId="2824" applyFont="1" applyFill="1" applyProtection="1">
      <protection hidden="1"/>
    </xf>
    <xf numFmtId="176" fontId="286" fillId="0" borderId="1" xfId="2824" applyNumberFormat="1" applyFont="1" applyBorder="1" applyAlignment="1" applyProtection="1">
      <alignment horizontal="right"/>
      <protection hidden="1"/>
    </xf>
    <xf numFmtId="175" fontId="286" fillId="0" borderId="1" xfId="1899" applyNumberFormat="1" applyFont="1" applyBorder="1" applyProtection="1">
      <protection hidden="1"/>
    </xf>
    <xf numFmtId="176" fontId="285" fillId="0" borderId="1" xfId="2824" applyNumberFormat="1" applyFont="1" applyBorder="1" applyAlignment="1" applyProtection="1">
      <alignment horizontal="center"/>
      <protection hidden="1"/>
    </xf>
    <xf numFmtId="176" fontId="295" fillId="0" borderId="49" xfId="2824" applyNumberFormat="1" applyFont="1" applyBorder="1" applyAlignment="1" applyProtection="1">
      <alignment horizontal="center"/>
      <protection hidden="1"/>
    </xf>
    <xf numFmtId="176" fontId="295" fillId="0" borderId="1" xfId="2824" applyNumberFormat="1" applyFont="1" applyBorder="1" applyProtection="1">
      <protection hidden="1"/>
    </xf>
    <xf numFmtId="176" fontId="296" fillId="0" borderId="1" xfId="2824" applyNumberFormat="1" applyFont="1" applyBorder="1" applyProtection="1">
      <protection hidden="1"/>
    </xf>
    <xf numFmtId="176" fontId="296" fillId="0" borderId="1" xfId="2824" applyNumberFormat="1" applyFont="1" applyBorder="1" applyAlignment="1" applyProtection="1">
      <alignment horizontal="center"/>
      <protection hidden="1"/>
    </xf>
    <xf numFmtId="175" fontId="296" fillId="0" borderId="1" xfId="1899" applyNumberFormat="1" applyFont="1" applyBorder="1" applyProtection="1">
      <protection hidden="1"/>
    </xf>
    <xf numFmtId="0" fontId="295" fillId="0" borderId="1" xfId="2824" applyFont="1" applyBorder="1" applyProtection="1">
      <protection hidden="1"/>
    </xf>
    <xf numFmtId="0" fontId="295" fillId="0" borderId="1" xfId="2824" applyFont="1" applyBorder="1" applyAlignment="1" applyProtection="1">
      <alignment horizontal="center"/>
      <protection hidden="1"/>
    </xf>
    <xf numFmtId="176" fontId="295" fillId="0" borderId="1" xfId="2824" applyNumberFormat="1" applyFont="1" applyBorder="1" applyAlignment="1" applyProtection="1">
      <alignment horizontal="center"/>
      <protection hidden="1"/>
    </xf>
    <xf numFmtId="0" fontId="295" fillId="0" borderId="50" xfId="2824" applyFont="1" applyBorder="1" applyAlignment="1" applyProtection="1">
      <alignment horizontal="center"/>
      <protection hidden="1"/>
    </xf>
    <xf numFmtId="0" fontId="295" fillId="0" borderId="0" xfId="2824" applyFont="1" applyProtection="1">
      <protection hidden="1"/>
    </xf>
    <xf numFmtId="176" fontId="286" fillId="0" borderId="1" xfId="2824" applyNumberFormat="1" applyFont="1" applyBorder="1" applyProtection="1">
      <protection hidden="1"/>
    </xf>
    <xf numFmtId="176" fontId="288" fillId="0" borderId="1" xfId="2824" applyNumberFormat="1" applyFont="1" applyBorder="1" applyProtection="1">
      <protection hidden="1"/>
    </xf>
    <xf numFmtId="176" fontId="3" fillId="0" borderId="49" xfId="2824" applyNumberFormat="1" applyFont="1" applyBorder="1" applyAlignment="1" applyProtection="1">
      <alignment horizontal="center"/>
      <protection hidden="1"/>
    </xf>
    <xf numFmtId="176" fontId="3" fillId="0" borderId="1" xfId="2824" applyNumberFormat="1" applyFont="1" applyBorder="1" applyProtection="1">
      <protection hidden="1"/>
    </xf>
    <xf numFmtId="176" fontId="236" fillId="0" borderId="1" xfId="2824" applyNumberFormat="1" applyFont="1" applyBorder="1" applyProtection="1">
      <protection hidden="1"/>
    </xf>
    <xf numFmtId="176" fontId="290" fillId="0" borderId="1" xfId="2824" applyNumberFormat="1" applyFont="1" applyBorder="1" applyProtection="1">
      <protection hidden="1"/>
    </xf>
    <xf numFmtId="176" fontId="6" fillId="0" borderId="49" xfId="2824" applyNumberFormat="1" applyBorder="1" applyAlignment="1" applyProtection="1">
      <alignment horizontal="center"/>
      <protection hidden="1"/>
    </xf>
    <xf numFmtId="176" fontId="6" fillId="0" borderId="1" xfId="2824" applyNumberFormat="1" applyBorder="1" applyProtection="1">
      <protection hidden="1"/>
    </xf>
    <xf numFmtId="176" fontId="21" fillId="0" borderId="1" xfId="2824" applyNumberFormat="1" applyFont="1" applyBorder="1" applyProtection="1">
      <protection hidden="1"/>
    </xf>
    <xf numFmtId="176" fontId="21" fillId="0" borderId="1" xfId="2824" applyNumberFormat="1" applyFont="1" applyBorder="1" applyAlignment="1" applyProtection="1">
      <alignment horizontal="center"/>
      <protection hidden="1"/>
    </xf>
    <xf numFmtId="175" fontId="21" fillId="0" borderId="1" xfId="1899" applyNumberFormat="1" applyFont="1" applyBorder="1" applyProtection="1">
      <protection hidden="1"/>
    </xf>
    <xf numFmtId="0" fontId="6" fillId="0" borderId="1" xfId="2824" applyBorder="1" applyProtection="1">
      <protection hidden="1"/>
    </xf>
    <xf numFmtId="0" fontId="6" fillId="0" borderId="1" xfId="2824" applyBorder="1" applyAlignment="1" applyProtection="1">
      <alignment horizontal="center"/>
      <protection hidden="1"/>
    </xf>
    <xf numFmtId="0" fontId="6" fillId="0" borderId="50" xfId="2824" applyBorder="1" applyAlignment="1" applyProtection="1">
      <alignment horizontal="center"/>
      <protection hidden="1"/>
    </xf>
    <xf numFmtId="176" fontId="6" fillId="0" borderId="51" xfId="2824" applyNumberFormat="1" applyBorder="1" applyAlignment="1" applyProtection="1">
      <alignment horizontal="center"/>
      <protection hidden="1"/>
    </xf>
    <xf numFmtId="176" fontId="6" fillId="0" borderId="52" xfId="2824" applyNumberFormat="1" applyBorder="1" applyProtection="1">
      <protection hidden="1"/>
    </xf>
    <xf numFmtId="176" fontId="21" fillId="0" borderId="52" xfId="2824" applyNumberFormat="1" applyFont="1" applyBorder="1" applyProtection="1">
      <protection hidden="1"/>
    </xf>
    <xf numFmtId="176" fontId="21" fillId="0" borderId="52" xfId="2824" applyNumberFormat="1" applyFont="1" applyBorder="1" applyAlignment="1" applyProtection="1">
      <alignment horizontal="center"/>
      <protection hidden="1"/>
    </xf>
    <xf numFmtId="175" fontId="21" fillId="0" borderId="52" xfId="1899" applyNumberFormat="1" applyFont="1" applyBorder="1" applyProtection="1">
      <protection hidden="1"/>
    </xf>
    <xf numFmtId="0" fontId="6" fillId="0" borderId="52" xfId="2824" applyBorder="1" applyProtection="1">
      <protection hidden="1"/>
    </xf>
    <xf numFmtId="0" fontId="6" fillId="0" borderId="52" xfId="2824" applyBorder="1" applyAlignment="1" applyProtection="1">
      <alignment horizontal="center"/>
      <protection hidden="1"/>
    </xf>
    <xf numFmtId="0" fontId="6" fillId="0" borderId="53" xfId="2824" applyBorder="1" applyAlignment="1" applyProtection="1">
      <alignment horizontal="center"/>
      <protection hidden="1"/>
    </xf>
    <xf numFmtId="176" fontId="6" fillId="0" borderId="0" xfId="2824" applyNumberFormat="1" applyAlignment="1" applyProtection="1">
      <alignment horizontal="center"/>
      <protection hidden="1"/>
    </xf>
    <xf numFmtId="176" fontId="6" fillId="0" borderId="0" xfId="2824" applyNumberFormat="1" applyProtection="1">
      <protection hidden="1"/>
    </xf>
    <xf numFmtId="176" fontId="21" fillId="0" borderId="103" xfId="2824" applyNumberFormat="1" applyFont="1" applyBorder="1" applyProtection="1">
      <protection hidden="1"/>
    </xf>
    <xf numFmtId="176" fontId="21" fillId="0" borderId="0" xfId="2824" applyNumberFormat="1" applyFont="1" applyAlignment="1" applyProtection="1">
      <alignment horizontal="center"/>
      <protection hidden="1"/>
    </xf>
    <xf numFmtId="175" fontId="21" fillId="0" borderId="0" xfId="1899" applyNumberFormat="1" applyFont="1" applyBorder="1" applyProtection="1">
      <protection hidden="1"/>
    </xf>
    <xf numFmtId="0" fontId="21" fillId="0" borderId="48" xfId="2824" applyFont="1" applyBorder="1" applyAlignment="1" applyProtection="1">
      <alignment horizontal="center" vertical="center"/>
      <protection hidden="1"/>
    </xf>
    <xf numFmtId="0" fontId="21" fillId="0" borderId="2" xfId="2824" applyFont="1" applyBorder="1" applyAlignment="1" applyProtection="1">
      <alignment horizontal="center" vertical="center"/>
      <protection hidden="1"/>
    </xf>
    <xf numFmtId="0" fontId="260" fillId="59" borderId="2" xfId="2824" applyFont="1" applyFill="1" applyBorder="1" applyAlignment="1" applyProtection="1">
      <alignment vertical="center" wrapText="1"/>
      <protection hidden="1"/>
    </xf>
    <xf numFmtId="0" fontId="260" fillId="59" borderId="2" xfId="2824" applyFont="1" applyFill="1" applyBorder="1" applyAlignment="1" applyProtection="1">
      <alignment horizontal="center" vertical="center" wrapText="1"/>
      <protection hidden="1"/>
    </xf>
    <xf numFmtId="0" fontId="260" fillId="59" borderId="74" xfId="2824" applyFont="1" applyFill="1" applyBorder="1" applyAlignment="1" applyProtection="1">
      <alignment horizontal="center" vertical="center" wrapText="1"/>
      <protection hidden="1"/>
    </xf>
    <xf numFmtId="0" fontId="260" fillId="73" borderId="0" xfId="2824" applyFont="1" applyFill="1" applyAlignment="1" applyProtection="1">
      <alignment vertical="center" wrapText="1"/>
      <protection hidden="1"/>
    </xf>
    <xf numFmtId="0" fontId="259" fillId="59" borderId="104" xfId="2824" applyFont="1" applyFill="1" applyBorder="1" applyAlignment="1" applyProtection="1">
      <alignment horizontal="center" vertical="center" wrapText="1"/>
      <protection hidden="1"/>
    </xf>
    <xf numFmtId="0" fontId="259" fillId="59" borderId="40" xfId="2824" applyFont="1" applyFill="1" applyBorder="1" applyAlignment="1" applyProtection="1">
      <alignment vertical="center" wrapText="1"/>
      <protection hidden="1"/>
    </xf>
    <xf numFmtId="325" fontId="260" fillId="59" borderId="40" xfId="2824" applyNumberFormat="1" applyFont="1" applyFill="1" applyBorder="1" applyProtection="1">
      <protection hidden="1"/>
    </xf>
    <xf numFmtId="0" fontId="260" fillId="59" borderId="40" xfId="2824" applyFont="1" applyFill="1" applyBorder="1" applyAlignment="1" applyProtection="1">
      <alignment horizontal="center" vertical="center" wrapText="1"/>
      <protection hidden="1"/>
    </xf>
    <xf numFmtId="0" fontId="260" fillId="59" borderId="105" xfId="2824" applyFont="1" applyFill="1" applyBorder="1" applyAlignment="1" applyProtection="1">
      <alignment horizontal="center" vertical="center" wrapText="1"/>
      <protection hidden="1"/>
    </xf>
    <xf numFmtId="0" fontId="259" fillId="73" borderId="0" xfId="2824" applyFont="1" applyFill="1" applyAlignment="1" applyProtection="1">
      <alignment vertical="center" wrapText="1"/>
      <protection hidden="1"/>
    </xf>
    <xf numFmtId="0" fontId="259" fillId="59" borderId="96" xfId="2824" applyFont="1" applyFill="1" applyBorder="1" applyAlignment="1" applyProtection="1">
      <alignment horizontal="center" vertical="center" wrapText="1"/>
      <protection hidden="1"/>
    </xf>
    <xf numFmtId="0" fontId="259" fillId="59" borderId="9" xfId="2824" applyFont="1" applyFill="1" applyBorder="1" applyAlignment="1" applyProtection="1">
      <alignment vertical="center" wrapText="1"/>
      <protection hidden="1"/>
    </xf>
    <xf numFmtId="176" fontId="260" fillId="59" borderId="9" xfId="2824" applyNumberFormat="1" applyFont="1" applyFill="1" applyBorder="1" applyProtection="1">
      <protection hidden="1"/>
    </xf>
    <xf numFmtId="176" fontId="260" fillId="59" borderId="9" xfId="2824" applyNumberFormat="1" applyFont="1" applyFill="1" applyBorder="1" applyAlignment="1" applyProtection="1">
      <alignment horizontal="left"/>
      <protection hidden="1"/>
    </xf>
    <xf numFmtId="175" fontId="260" fillId="59" borderId="9" xfId="1899" applyNumberFormat="1" applyFont="1" applyFill="1" applyBorder="1" applyProtection="1">
      <protection hidden="1"/>
    </xf>
    <xf numFmtId="0" fontId="259" fillId="59" borderId="88" xfId="2824" applyFont="1" applyFill="1" applyBorder="1" applyAlignment="1" applyProtection="1">
      <alignment vertical="center" wrapText="1"/>
      <protection hidden="1"/>
    </xf>
    <xf numFmtId="0" fontId="0" fillId="0" borderId="106" xfId="0" applyBorder="1" applyAlignment="1">
      <alignment horizontal="center"/>
    </xf>
    <xf numFmtId="0" fontId="0" fillId="0" borderId="106" xfId="0" applyBorder="1"/>
    <xf numFmtId="326" fontId="260" fillId="59" borderId="40" xfId="2824" applyNumberFormat="1" applyFont="1" applyFill="1" applyBorder="1" applyProtection="1">
      <protection hidden="1"/>
    </xf>
    <xf numFmtId="0" fontId="0" fillId="0" borderId="106" xfId="0" applyBorder="1" applyAlignment="1">
      <alignment horizontal="left"/>
    </xf>
    <xf numFmtId="0" fontId="3" fillId="85" borderId="0" xfId="2824" applyFont="1" applyFill="1" applyAlignment="1" applyProtection="1">
      <alignment vertical="center" wrapText="1"/>
      <protection hidden="1"/>
    </xf>
    <xf numFmtId="0" fontId="0" fillId="0" borderId="107" xfId="0" applyBorder="1" applyAlignment="1">
      <alignment horizontal="center"/>
    </xf>
    <xf numFmtId="0" fontId="0" fillId="0" borderId="107" xfId="0" applyBorder="1"/>
    <xf numFmtId="176" fontId="278" fillId="0" borderId="107" xfId="0" applyNumberFormat="1" applyFont="1" applyBorder="1" applyProtection="1">
      <protection hidden="1"/>
    </xf>
    <xf numFmtId="0" fontId="278" fillId="0" borderId="107" xfId="0" applyFont="1" applyBorder="1" applyAlignment="1" applyProtection="1">
      <alignment horizontal="left"/>
      <protection hidden="1"/>
    </xf>
    <xf numFmtId="175" fontId="21" fillId="59" borderId="90" xfId="1899" applyNumberFormat="1" applyFont="1" applyFill="1" applyBorder="1" applyProtection="1">
      <protection hidden="1"/>
    </xf>
    <xf numFmtId="0" fontId="6" fillId="59" borderId="45" xfId="2824" applyFill="1" applyBorder="1" applyAlignment="1" applyProtection="1">
      <alignment horizontal="center" vertical="center" wrapText="1"/>
      <protection hidden="1"/>
    </xf>
    <xf numFmtId="0" fontId="6" fillId="59" borderId="32" xfId="2824" applyFill="1" applyBorder="1" applyAlignment="1" applyProtection="1">
      <alignment vertical="center" wrapText="1"/>
      <protection hidden="1"/>
    </xf>
    <xf numFmtId="327" fontId="21" fillId="59" borderId="32" xfId="2824" applyNumberFormat="1" applyFont="1" applyFill="1" applyBorder="1" applyProtection="1">
      <protection hidden="1"/>
    </xf>
    <xf numFmtId="0" fontId="0" fillId="0" borderId="0" xfId="0" applyAlignment="1">
      <alignment horizontal="left"/>
    </xf>
    <xf numFmtId="0" fontId="6" fillId="70" borderId="0" xfId="2824" applyFill="1" applyAlignment="1" applyProtection="1">
      <alignment vertical="center" wrapText="1"/>
      <protection hidden="1"/>
    </xf>
    <xf numFmtId="176" fontId="6" fillId="59" borderId="89" xfId="2824" applyNumberFormat="1" applyFill="1" applyBorder="1" applyAlignment="1" applyProtection="1">
      <alignment horizontal="center"/>
      <protection hidden="1"/>
    </xf>
    <xf numFmtId="0" fontId="6" fillId="59" borderId="90" xfId="2824" applyFill="1" applyBorder="1" applyAlignment="1" applyProtection="1">
      <alignment vertical="center" wrapText="1"/>
      <protection hidden="1"/>
    </xf>
    <xf numFmtId="176" fontId="21" fillId="59" borderId="90" xfId="2824" applyNumberFormat="1" applyFont="1" applyFill="1" applyBorder="1" applyProtection="1">
      <protection hidden="1"/>
    </xf>
    <xf numFmtId="176" fontId="21" fillId="59" borderId="90" xfId="2824" applyNumberFormat="1" applyFont="1" applyFill="1" applyBorder="1" applyAlignment="1" applyProtection="1">
      <alignment horizontal="left"/>
      <protection hidden="1"/>
    </xf>
    <xf numFmtId="0" fontId="6" fillId="59" borderId="108" xfId="2824" applyFill="1" applyBorder="1" applyAlignment="1" applyProtection="1">
      <alignment vertical="center" wrapText="1"/>
      <protection hidden="1"/>
    </xf>
    <xf numFmtId="0" fontId="6" fillId="70" borderId="0" xfId="2824" applyFill="1" applyProtection="1">
      <protection hidden="1"/>
    </xf>
    <xf numFmtId="176" fontId="6" fillId="59" borderId="0" xfId="2824" applyNumberFormat="1" applyFill="1" applyAlignment="1" applyProtection="1">
      <alignment horizontal="center"/>
      <protection hidden="1"/>
    </xf>
    <xf numFmtId="0" fontId="6" fillId="59" borderId="0" xfId="2824" applyFill="1" applyAlignment="1" applyProtection="1">
      <alignment vertical="center" wrapText="1"/>
      <protection hidden="1"/>
    </xf>
    <xf numFmtId="176" fontId="21" fillId="59" borderId="0" xfId="2824" applyNumberFormat="1" applyFont="1" applyFill="1" applyProtection="1">
      <protection hidden="1"/>
    </xf>
    <xf numFmtId="176" fontId="21" fillId="59" borderId="0" xfId="2824" applyNumberFormat="1" applyFont="1" applyFill="1" applyAlignment="1" applyProtection="1">
      <alignment horizontal="left"/>
      <protection hidden="1"/>
    </xf>
    <xf numFmtId="175" fontId="21" fillId="59" borderId="0" xfId="1899" applyNumberFormat="1" applyFont="1" applyFill="1" applyBorder="1" applyProtection="1">
      <protection hidden="1"/>
    </xf>
    <xf numFmtId="176" fontId="21" fillId="0" borderId="0" xfId="2824" applyNumberFormat="1" applyFont="1" applyProtection="1">
      <protection hidden="1"/>
    </xf>
    <xf numFmtId="0" fontId="6" fillId="0" borderId="31" xfId="2824" applyBorder="1" applyProtection="1">
      <protection hidden="1"/>
    </xf>
    <xf numFmtId="0" fontId="6" fillId="89" borderId="0" xfId="2824" applyFill="1" applyProtection="1">
      <protection hidden="1"/>
    </xf>
    <xf numFmtId="0" fontId="6" fillId="89" borderId="2" xfId="2824" applyFill="1" applyBorder="1" applyProtection="1">
      <protection hidden="1"/>
    </xf>
    <xf numFmtId="0" fontId="6" fillId="89" borderId="2" xfId="2824" applyFill="1" applyBorder="1" applyAlignment="1" applyProtection="1">
      <alignment horizontal="center"/>
      <protection hidden="1"/>
    </xf>
    <xf numFmtId="0" fontId="21" fillId="89" borderId="2" xfId="2824" applyFont="1" applyFill="1" applyBorder="1" applyAlignment="1" applyProtection="1">
      <alignment horizontal="center"/>
      <protection hidden="1"/>
    </xf>
    <xf numFmtId="0" fontId="21" fillId="89" borderId="74" xfId="2824" applyFont="1" applyFill="1" applyBorder="1" applyAlignment="1" applyProtection="1">
      <alignment horizontal="center"/>
      <protection hidden="1"/>
    </xf>
    <xf numFmtId="198" fontId="6" fillId="0" borderId="54" xfId="2824" applyNumberFormat="1" applyBorder="1" applyAlignment="1" applyProtection="1">
      <alignment horizontal="center"/>
      <protection hidden="1"/>
    </xf>
    <xf numFmtId="198" fontId="6" fillId="0" borderId="20" xfId="2824" applyNumberFormat="1" applyBorder="1" applyProtection="1">
      <protection hidden="1"/>
    </xf>
    <xf numFmtId="176" fontId="21" fillId="0" borderId="20" xfId="2824" applyNumberFormat="1" applyFont="1" applyBorder="1" applyProtection="1">
      <protection hidden="1"/>
    </xf>
    <xf numFmtId="176" fontId="21" fillId="0" borderId="20" xfId="2824" applyNumberFormat="1" applyFont="1" applyBorder="1" applyAlignment="1" applyProtection="1">
      <alignment horizontal="center"/>
      <protection hidden="1"/>
    </xf>
    <xf numFmtId="175" fontId="21" fillId="0" borderId="20" xfId="1899" applyNumberFormat="1" applyFont="1" applyBorder="1" applyProtection="1">
      <protection hidden="1"/>
    </xf>
    <xf numFmtId="0" fontId="6" fillId="0" borderId="20" xfId="2824" applyBorder="1" applyProtection="1">
      <protection hidden="1"/>
    </xf>
    <xf numFmtId="180" fontId="6" fillId="0" borderId="20" xfId="1899" applyNumberFormat="1" applyFont="1" applyBorder="1" applyProtection="1">
      <protection hidden="1"/>
    </xf>
    <xf numFmtId="180" fontId="6" fillId="0" borderId="20" xfId="1899" applyNumberFormat="1" applyFont="1" applyBorder="1" applyAlignment="1" applyProtection="1">
      <alignment horizontal="center"/>
      <protection hidden="1"/>
    </xf>
    <xf numFmtId="180" fontId="6" fillId="0" borderId="55" xfId="1899" applyNumberFormat="1" applyFont="1" applyBorder="1" applyAlignment="1" applyProtection="1">
      <alignment horizontal="center"/>
      <protection hidden="1"/>
    </xf>
    <xf numFmtId="0" fontId="21" fillId="0" borderId="0" xfId="2824" applyFont="1" applyProtection="1">
      <protection hidden="1"/>
    </xf>
    <xf numFmtId="198" fontId="6" fillId="0" borderId="49" xfId="2824" applyNumberFormat="1" applyBorder="1" applyAlignment="1" applyProtection="1">
      <alignment horizontal="center"/>
      <protection hidden="1"/>
    </xf>
    <xf numFmtId="198" fontId="6" fillId="0" borderId="1" xfId="2824" applyNumberFormat="1" applyBorder="1" applyProtection="1">
      <protection hidden="1"/>
    </xf>
    <xf numFmtId="180" fontId="6" fillId="0" borderId="1" xfId="1899" applyNumberFormat="1" applyFont="1" applyBorder="1" applyProtection="1">
      <protection hidden="1"/>
    </xf>
    <xf numFmtId="180" fontId="6" fillId="0" borderId="1" xfId="1899" applyNumberFormat="1" applyFont="1" applyBorder="1" applyAlignment="1" applyProtection="1">
      <alignment horizontal="center"/>
      <protection hidden="1"/>
    </xf>
    <xf numFmtId="180" fontId="3" fillId="0" borderId="1" xfId="1899" applyNumberFormat="1" applyFont="1" applyBorder="1" applyAlignment="1" applyProtection="1">
      <alignment horizontal="center"/>
      <protection hidden="1"/>
    </xf>
    <xf numFmtId="180" fontId="6" fillId="0" borderId="50" xfId="1899" applyNumberFormat="1" applyFont="1" applyBorder="1" applyAlignment="1" applyProtection="1">
      <alignment horizontal="center"/>
      <protection hidden="1"/>
    </xf>
    <xf numFmtId="198" fontId="279" fillId="0" borderId="54" xfId="2824" applyNumberFormat="1" applyFont="1" applyBorder="1" applyAlignment="1" applyProtection="1">
      <alignment horizontal="center"/>
      <protection hidden="1"/>
    </xf>
    <xf numFmtId="176" fontId="279" fillId="0" borderId="20" xfId="2824" applyNumberFormat="1" applyFont="1" applyBorder="1" applyProtection="1">
      <protection hidden="1"/>
    </xf>
    <xf numFmtId="176" fontId="297" fillId="0" borderId="20" xfId="2824" applyNumberFormat="1" applyFont="1" applyBorder="1" applyProtection="1">
      <protection hidden="1"/>
    </xf>
    <xf numFmtId="198" fontId="297" fillId="0" borderId="20" xfId="2824" applyNumberFormat="1" applyFont="1" applyBorder="1" applyAlignment="1" applyProtection="1">
      <alignment horizontal="center"/>
      <protection hidden="1"/>
    </xf>
    <xf numFmtId="175" fontId="297" fillId="0" borderId="20" xfId="1899" applyNumberFormat="1" applyFont="1" applyBorder="1" applyProtection="1">
      <protection hidden="1"/>
    </xf>
    <xf numFmtId="0" fontId="279" fillId="0" borderId="20" xfId="2824" applyFont="1" applyBorder="1" applyProtection="1">
      <protection hidden="1"/>
    </xf>
    <xf numFmtId="180" fontId="279" fillId="0" borderId="20" xfId="1899" applyNumberFormat="1" applyFont="1" applyBorder="1" applyProtection="1">
      <protection hidden="1"/>
    </xf>
    <xf numFmtId="180" fontId="279" fillId="0" borderId="20" xfId="1899" applyNumberFormat="1" applyFont="1" applyBorder="1" applyAlignment="1" applyProtection="1">
      <alignment horizontal="center"/>
      <protection hidden="1"/>
    </xf>
    <xf numFmtId="180" fontId="279" fillId="0" borderId="0" xfId="1899" applyNumberFormat="1" applyFont="1" applyBorder="1" applyAlignment="1" applyProtection="1">
      <alignment horizontal="center"/>
      <protection hidden="1"/>
    </xf>
    <xf numFmtId="180" fontId="279" fillId="0" borderId="55" xfId="1899" applyNumberFormat="1" applyFont="1" applyBorder="1" applyAlignment="1" applyProtection="1">
      <alignment horizontal="center"/>
      <protection hidden="1"/>
    </xf>
    <xf numFmtId="0" fontId="279" fillId="0" borderId="0" xfId="2824" applyFont="1" applyProtection="1">
      <protection hidden="1"/>
    </xf>
    <xf numFmtId="178" fontId="6" fillId="0" borderId="0" xfId="2824" applyNumberFormat="1" applyProtection="1">
      <protection hidden="1"/>
    </xf>
    <xf numFmtId="0" fontId="279" fillId="0" borderId="20" xfId="2824" applyFont="1" applyBorder="1" applyAlignment="1" applyProtection="1">
      <alignment horizontal="center"/>
      <protection hidden="1"/>
    </xf>
    <xf numFmtId="180" fontId="279" fillId="0" borderId="0" xfId="1899" applyNumberFormat="1" applyFont="1" applyBorder="1"/>
    <xf numFmtId="198" fontId="298" fillId="0" borderId="54" xfId="2824" applyNumberFormat="1" applyFont="1" applyBorder="1" applyAlignment="1" applyProtection="1">
      <alignment horizontal="center"/>
      <protection hidden="1"/>
    </xf>
    <xf numFmtId="176" fontId="298" fillId="0" borderId="20" xfId="2824" applyNumberFormat="1" applyFont="1" applyBorder="1" applyProtection="1">
      <protection hidden="1"/>
    </xf>
    <xf numFmtId="198" fontId="299" fillId="0" borderId="20" xfId="2824" applyNumberFormat="1" applyFont="1" applyBorder="1" applyProtection="1">
      <protection hidden="1"/>
    </xf>
    <xf numFmtId="198" fontId="299" fillId="0" borderId="20" xfId="2824" applyNumberFormat="1" applyFont="1" applyBorder="1" applyAlignment="1" applyProtection="1">
      <alignment horizontal="center"/>
      <protection hidden="1"/>
    </xf>
    <xf numFmtId="175" fontId="299" fillId="0" borderId="20" xfId="1899" applyNumberFormat="1" applyFont="1" applyBorder="1" applyProtection="1">
      <protection hidden="1"/>
    </xf>
    <xf numFmtId="0" fontId="298" fillId="0" borderId="20" xfId="2824" applyFont="1" applyBorder="1" applyProtection="1">
      <protection hidden="1"/>
    </xf>
    <xf numFmtId="0" fontId="298" fillId="0" borderId="20" xfId="2824" applyFont="1" applyBorder="1" applyAlignment="1" applyProtection="1">
      <alignment horizontal="center"/>
      <protection hidden="1"/>
    </xf>
    <xf numFmtId="180" fontId="298" fillId="0" borderId="20" xfId="1899" applyNumberFormat="1" applyFont="1" applyBorder="1" applyAlignment="1" applyProtection="1">
      <alignment horizontal="center"/>
      <protection hidden="1"/>
    </xf>
    <xf numFmtId="180" fontId="298" fillId="0" borderId="0" xfId="1899" applyNumberFormat="1" applyFont="1" applyBorder="1"/>
    <xf numFmtId="180" fontId="298" fillId="0" borderId="55" xfId="1899" applyNumberFormat="1" applyFont="1" applyBorder="1" applyAlignment="1" applyProtection="1">
      <alignment horizontal="center"/>
      <protection hidden="1"/>
    </xf>
    <xf numFmtId="0" fontId="298" fillId="0" borderId="0" xfId="2824" applyFont="1" applyProtection="1">
      <protection hidden="1"/>
    </xf>
    <xf numFmtId="198" fontId="284" fillId="0" borderId="49" xfId="2824" applyNumberFormat="1" applyFont="1" applyBorder="1" applyAlignment="1" applyProtection="1">
      <alignment horizontal="center"/>
      <protection hidden="1"/>
    </xf>
    <xf numFmtId="176" fontId="284" fillId="0" borderId="1" xfId="2824" applyNumberFormat="1" applyFont="1" applyBorder="1" applyProtection="1">
      <protection hidden="1"/>
    </xf>
    <xf numFmtId="176" fontId="282" fillId="0" borderId="20" xfId="2824" applyNumberFormat="1" applyFont="1" applyBorder="1" applyProtection="1">
      <protection hidden="1"/>
    </xf>
    <xf numFmtId="176" fontId="282" fillId="0" borderId="20" xfId="2824" applyNumberFormat="1" applyFont="1" applyBorder="1" applyAlignment="1" applyProtection="1">
      <alignment horizontal="center"/>
      <protection hidden="1"/>
    </xf>
    <xf numFmtId="175" fontId="282" fillId="0" borderId="20" xfId="1899" applyNumberFormat="1" applyFont="1" applyBorder="1" applyProtection="1">
      <protection hidden="1"/>
    </xf>
    <xf numFmtId="0" fontId="284" fillId="0" borderId="1" xfId="2824" applyFont="1" applyBorder="1" applyProtection="1">
      <protection hidden="1"/>
    </xf>
    <xf numFmtId="0" fontId="284" fillId="0" borderId="75" xfId="2824" applyFont="1" applyBorder="1" applyAlignment="1" applyProtection="1">
      <alignment vertical="center" wrapText="1"/>
      <protection hidden="1"/>
    </xf>
    <xf numFmtId="180" fontId="284" fillId="0" borderId="75" xfId="1899" applyNumberFormat="1" applyFont="1" applyBorder="1" applyAlignment="1" applyProtection="1">
      <alignment vertical="center" wrapText="1"/>
      <protection hidden="1"/>
    </xf>
    <xf numFmtId="180" fontId="284" fillId="0" borderId="75" xfId="1899" applyNumberFormat="1" applyFont="1" applyBorder="1" applyAlignment="1" applyProtection="1">
      <alignment horizontal="center"/>
      <protection hidden="1"/>
    </xf>
    <xf numFmtId="180" fontId="284" fillId="0" borderId="76" xfId="1899" applyNumberFormat="1" applyFont="1" applyBorder="1" applyAlignment="1" applyProtection="1">
      <alignment vertical="center" wrapText="1"/>
      <protection hidden="1"/>
    </xf>
    <xf numFmtId="0" fontId="284" fillId="0" borderId="0" xfId="2824" applyFont="1" applyAlignment="1" applyProtection="1">
      <alignment vertical="center" wrapText="1"/>
      <protection hidden="1"/>
    </xf>
    <xf numFmtId="0" fontId="284" fillId="0" borderId="0" xfId="2824" applyFont="1" applyProtection="1">
      <protection hidden="1"/>
    </xf>
    <xf numFmtId="178" fontId="284" fillId="0" borderId="0" xfId="2824" applyNumberFormat="1" applyFont="1" applyProtection="1">
      <protection hidden="1"/>
    </xf>
    <xf numFmtId="0" fontId="284" fillId="0" borderId="1" xfId="2824" applyFont="1" applyBorder="1" applyAlignment="1" applyProtection="1">
      <alignment horizontal="center"/>
      <protection hidden="1"/>
    </xf>
    <xf numFmtId="180" fontId="284" fillId="0" borderId="1" xfId="1899" applyNumberFormat="1" applyFont="1" applyBorder="1" applyAlignment="1" applyProtection="1">
      <alignment horizontal="center"/>
      <protection hidden="1"/>
    </xf>
    <xf numFmtId="180" fontId="284" fillId="0" borderId="50" xfId="1899" applyNumberFormat="1" applyFont="1" applyBorder="1" applyAlignment="1" applyProtection="1">
      <alignment horizontal="center"/>
      <protection hidden="1"/>
    </xf>
    <xf numFmtId="198" fontId="279" fillId="0" borderId="49" xfId="2824" applyNumberFormat="1" applyFont="1" applyBorder="1" applyAlignment="1" applyProtection="1">
      <alignment horizontal="center"/>
      <protection hidden="1"/>
    </xf>
    <xf numFmtId="176" fontId="279" fillId="0" borderId="1" xfId="2824" applyNumberFormat="1" applyFont="1" applyBorder="1" applyProtection="1">
      <protection hidden="1"/>
    </xf>
    <xf numFmtId="176" fontId="297" fillId="0" borderId="20" xfId="2824" applyNumberFormat="1" applyFont="1" applyBorder="1" applyAlignment="1" applyProtection="1">
      <alignment horizontal="center"/>
      <protection hidden="1"/>
    </xf>
    <xf numFmtId="0" fontId="279" fillId="0" borderId="1" xfId="2824" applyFont="1" applyBorder="1" applyProtection="1">
      <protection hidden="1"/>
    </xf>
    <xf numFmtId="0" fontId="279" fillId="0" borderId="1" xfId="2824" applyFont="1" applyBorder="1" applyAlignment="1" applyProtection="1">
      <alignment horizontal="center"/>
      <protection hidden="1"/>
    </xf>
    <xf numFmtId="180" fontId="279" fillId="0" borderId="1" xfId="1899" applyNumberFormat="1" applyFont="1" applyBorder="1" applyAlignment="1" applyProtection="1">
      <alignment horizontal="center"/>
      <protection hidden="1"/>
    </xf>
    <xf numFmtId="180" fontId="279" fillId="0" borderId="75" xfId="1899" applyNumberFormat="1" applyFont="1" applyBorder="1" applyAlignment="1" applyProtection="1">
      <alignment horizontal="center"/>
      <protection hidden="1"/>
    </xf>
    <xf numFmtId="180" fontId="279" fillId="0" borderId="50" xfId="1899" applyNumberFormat="1" applyFont="1" applyBorder="1" applyAlignment="1" applyProtection="1">
      <alignment horizontal="center"/>
      <protection hidden="1"/>
    </xf>
    <xf numFmtId="0" fontId="279" fillId="0" borderId="0" xfId="2824" applyFont="1" applyAlignment="1" applyProtection="1">
      <alignment vertical="center" wrapText="1"/>
      <protection hidden="1"/>
    </xf>
    <xf numFmtId="178" fontId="279" fillId="0" borderId="0" xfId="2824" applyNumberFormat="1" applyFont="1" applyProtection="1">
      <protection hidden="1"/>
    </xf>
    <xf numFmtId="178" fontId="279" fillId="0" borderId="0" xfId="1899" applyNumberFormat="1" applyFont="1" applyAlignment="1" applyProtection="1">
      <alignment vertical="center" wrapText="1"/>
      <protection hidden="1"/>
    </xf>
    <xf numFmtId="0" fontId="279" fillId="0" borderId="75" xfId="2824" applyFont="1" applyBorder="1" applyAlignment="1" applyProtection="1">
      <alignment vertical="center" wrapText="1"/>
      <protection hidden="1"/>
    </xf>
    <xf numFmtId="180" fontId="279" fillId="0" borderId="75" xfId="1899" applyNumberFormat="1" applyFont="1" applyBorder="1" applyAlignment="1" applyProtection="1">
      <alignment vertical="center" wrapText="1"/>
      <protection hidden="1"/>
    </xf>
    <xf numFmtId="180" fontId="279" fillId="0" borderId="76" xfId="1899" applyNumberFormat="1" applyFont="1" applyBorder="1" applyAlignment="1" applyProtection="1">
      <alignment vertical="center" wrapText="1"/>
      <protection hidden="1"/>
    </xf>
    <xf numFmtId="198" fontId="300" fillId="0" borderId="49" xfId="2824" applyNumberFormat="1" applyFont="1" applyBorder="1" applyAlignment="1" applyProtection="1">
      <alignment horizontal="center"/>
      <protection hidden="1"/>
    </xf>
    <xf numFmtId="198" fontId="300" fillId="0" borderId="1" xfId="2824" applyNumberFormat="1" applyFont="1" applyBorder="1" applyProtection="1">
      <protection hidden="1"/>
    </xf>
    <xf numFmtId="176" fontId="301" fillId="0" borderId="1" xfId="2824" applyNumberFormat="1" applyFont="1" applyBorder="1" applyAlignment="1" applyProtection="1">
      <alignment vertical="center" wrapText="1"/>
      <protection hidden="1"/>
    </xf>
    <xf numFmtId="176" fontId="301" fillId="0" borderId="20" xfId="2824" applyNumberFormat="1" applyFont="1" applyBorder="1" applyAlignment="1" applyProtection="1">
      <alignment horizontal="center"/>
      <protection hidden="1"/>
    </xf>
    <xf numFmtId="175" fontId="301" fillId="0" borderId="20" xfId="1899" applyNumberFormat="1" applyFont="1" applyBorder="1" applyProtection="1">
      <protection hidden="1"/>
    </xf>
    <xf numFmtId="0" fontId="300" fillId="0" borderId="1" xfId="2824" applyFont="1" applyBorder="1" applyProtection="1">
      <protection hidden="1"/>
    </xf>
    <xf numFmtId="0" fontId="300" fillId="0" borderId="1" xfId="2824" applyFont="1" applyBorder="1" applyAlignment="1" applyProtection="1">
      <alignment vertical="center" wrapText="1"/>
      <protection hidden="1"/>
    </xf>
    <xf numFmtId="0" fontId="300" fillId="0" borderId="1" xfId="2824" applyFont="1" applyBorder="1" applyAlignment="1" applyProtection="1">
      <alignment horizontal="center" vertical="center" wrapText="1"/>
      <protection hidden="1"/>
    </xf>
    <xf numFmtId="0" fontId="300" fillId="0" borderId="50" xfId="2824" applyFont="1" applyBorder="1" applyAlignment="1" applyProtection="1">
      <alignment horizontal="center" vertical="center" wrapText="1"/>
      <protection hidden="1"/>
    </xf>
    <xf numFmtId="0" fontId="300" fillId="0" borderId="0" xfId="2824" applyFont="1" applyAlignment="1" applyProtection="1">
      <alignment vertical="center" wrapText="1"/>
      <protection hidden="1"/>
    </xf>
    <xf numFmtId="176" fontId="301" fillId="0" borderId="1" xfId="2824" applyNumberFormat="1" applyFont="1" applyBorder="1" applyProtection="1">
      <protection hidden="1"/>
    </xf>
    <xf numFmtId="0" fontId="300" fillId="0" borderId="1" xfId="2824" applyFont="1" applyBorder="1" applyAlignment="1" applyProtection="1">
      <alignment horizontal="center"/>
      <protection hidden="1"/>
    </xf>
    <xf numFmtId="0" fontId="300" fillId="0" borderId="50" xfId="2824" applyFont="1" applyBorder="1" applyAlignment="1" applyProtection="1">
      <alignment horizontal="center"/>
      <protection hidden="1"/>
    </xf>
    <xf numFmtId="0" fontId="300" fillId="0" borderId="0" xfId="2824" applyFont="1" applyProtection="1">
      <protection hidden="1"/>
    </xf>
    <xf numFmtId="176" fontId="21" fillId="0" borderId="1" xfId="2824" applyNumberFormat="1" applyFont="1" applyBorder="1" applyAlignment="1" applyProtection="1">
      <alignment vertical="center" wrapText="1"/>
      <protection hidden="1"/>
    </xf>
    <xf numFmtId="0" fontId="6" fillId="0" borderId="1" xfId="2824" applyBorder="1" applyAlignment="1" applyProtection="1">
      <alignment vertical="center" wrapText="1"/>
      <protection hidden="1"/>
    </xf>
    <xf numFmtId="0" fontId="6" fillId="0" borderId="1" xfId="2824" applyBorder="1" applyAlignment="1" applyProtection="1">
      <alignment horizontal="center" vertical="center" wrapText="1"/>
      <protection hidden="1"/>
    </xf>
    <xf numFmtId="0" fontId="6" fillId="0" borderId="50" xfId="2824" applyBorder="1" applyAlignment="1" applyProtection="1">
      <alignment horizontal="center" vertical="center" wrapText="1"/>
      <protection hidden="1"/>
    </xf>
    <xf numFmtId="0" fontId="6" fillId="0" borderId="0" xfId="2824" applyAlignment="1" applyProtection="1">
      <alignment vertical="center" wrapText="1"/>
      <protection hidden="1"/>
    </xf>
    <xf numFmtId="176" fontId="21" fillId="0" borderId="75" xfId="2824" applyNumberFormat="1" applyFont="1" applyBorder="1" applyAlignment="1" applyProtection="1">
      <alignment vertical="center" wrapText="1"/>
      <protection hidden="1"/>
    </xf>
    <xf numFmtId="0" fontId="6" fillId="0" borderId="75" xfId="2824" applyBorder="1" applyAlignment="1" applyProtection="1">
      <alignment vertical="center" wrapText="1"/>
      <protection hidden="1"/>
    </xf>
    <xf numFmtId="0" fontId="3" fillId="0" borderId="75" xfId="2824" applyFont="1" applyBorder="1" applyAlignment="1" applyProtection="1">
      <alignment horizontal="center"/>
      <protection hidden="1"/>
    </xf>
    <xf numFmtId="0" fontId="6" fillId="0" borderId="76" xfId="2824" applyBorder="1" applyAlignment="1" applyProtection="1">
      <alignment vertical="center" wrapText="1"/>
      <protection hidden="1"/>
    </xf>
    <xf numFmtId="0" fontId="6" fillId="0" borderId="50" xfId="2824" applyBorder="1" applyAlignment="1" applyProtection="1">
      <alignment vertical="center" wrapText="1"/>
      <protection hidden="1"/>
    </xf>
    <xf numFmtId="175" fontId="21" fillId="0" borderId="32" xfId="1899" applyNumberFormat="1" applyFont="1" applyBorder="1" applyProtection="1">
      <protection hidden="1"/>
    </xf>
    <xf numFmtId="198" fontId="3" fillId="0" borderId="49" xfId="2824" applyNumberFormat="1" applyFont="1" applyBorder="1" applyAlignment="1" applyProtection="1">
      <alignment horizontal="center"/>
      <protection hidden="1"/>
    </xf>
    <xf numFmtId="176" fontId="236" fillId="0" borderId="75" xfId="2824" applyNumberFormat="1" applyFont="1" applyBorder="1" applyProtection="1">
      <protection hidden="1"/>
    </xf>
    <xf numFmtId="176" fontId="21" fillId="0" borderId="32" xfId="2824" applyNumberFormat="1" applyFont="1" applyBorder="1" applyAlignment="1" applyProtection="1">
      <alignment horizontal="center"/>
      <protection hidden="1"/>
    </xf>
    <xf numFmtId="175" fontId="236" fillId="0" borderId="32" xfId="1899" applyNumberFormat="1" applyFont="1" applyBorder="1" applyProtection="1">
      <protection hidden="1"/>
    </xf>
    <xf numFmtId="0" fontId="6" fillId="0" borderId="51" xfId="2824" applyBorder="1" applyAlignment="1" applyProtection="1">
      <alignment horizontal="center" vertical="center" wrapText="1"/>
      <protection hidden="1"/>
    </xf>
    <xf numFmtId="0" fontId="6" fillId="0" borderId="52" xfId="2824" applyBorder="1" applyAlignment="1" applyProtection="1">
      <alignment vertical="center" wrapText="1"/>
      <protection hidden="1"/>
    </xf>
    <xf numFmtId="0" fontId="6" fillId="0" borderId="53" xfId="2824" applyBorder="1" applyAlignment="1" applyProtection="1">
      <alignment vertical="center" wrapText="1"/>
      <protection hidden="1"/>
    </xf>
    <xf numFmtId="0" fontId="6" fillId="0" borderId="0" xfId="2824" applyAlignment="1" applyProtection="1">
      <alignment horizontal="center" vertical="center" wrapText="1"/>
      <protection hidden="1"/>
    </xf>
    <xf numFmtId="198" fontId="6" fillId="0" borderId="0" xfId="2824" applyNumberFormat="1" applyAlignment="1" applyProtection="1">
      <alignment vertical="center" wrapText="1"/>
      <protection hidden="1"/>
    </xf>
    <xf numFmtId="0" fontId="6" fillId="0" borderId="0" xfId="2824" applyAlignment="1" applyProtection="1">
      <alignment horizontal="center" vertical="center"/>
      <protection hidden="1"/>
    </xf>
    <xf numFmtId="0" fontId="6" fillId="0" borderId="0" xfId="2824" applyAlignment="1" applyProtection="1">
      <alignment vertical="center"/>
      <protection hidden="1"/>
    </xf>
    <xf numFmtId="0" fontId="6" fillId="0" borderId="0" xfId="2824" applyAlignment="1" applyProtection="1">
      <alignment horizontal="center"/>
      <protection locked="0"/>
    </xf>
    <xf numFmtId="0" fontId="7" fillId="0" borderId="0" xfId="2824" applyFont="1" applyAlignment="1" applyProtection="1">
      <alignment horizontal="center"/>
      <protection locked="0"/>
    </xf>
    <xf numFmtId="0" fontId="6" fillId="0" borderId="0" xfId="2824"/>
    <xf numFmtId="0" fontId="22" fillId="0" borderId="0" xfId="2824" applyFont="1" applyAlignment="1" applyProtection="1">
      <alignment horizontal="center" vertical="center"/>
      <protection locked="0"/>
    </xf>
    <xf numFmtId="314" fontId="21" fillId="86" borderId="73" xfId="2824" applyNumberFormat="1" applyFont="1" applyFill="1" applyBorder="1" applyAlignment="1" applyProtection="1">
      <alignment vertical="center"/>
      <protection locked="0"/>
    </xf>
    <xf numFmtId="0" fontId="6" fillId="0" borderId="0" xfId="2824" applyAlignment="1">
      <alignment vertical="center"/>
    </xf>
    <xf numFmtId="0" fontId="22" fillId="0" borderId="0" xfId="2824" applyFont="1" applyAlignment="1" applyProtection="1">
      <alignment horizontal="center"/>
      <protection locked="0"/>
    </xf>
    <xf numFmtId="0" fontId="20" fillId="0" borderId="0" xfId="2824" applyFont="1" applyAlignment="1" applyProtection="1">
      <alignment horizontal="center"/>
      <protection locked="0"/>
    </xf>
    <xf numFmtId="0" fontId="21" fillId="0" borderId="0" xfId="2824" applyFont="1" applyAlignment="1" applyProtection="1">
      <alignment horizontal="center"/>
      <protection locked="0"/>
    </xf>
    <xf numFmtId="0" fontId="21" fillId="0" borderId="0" xfId="2824" applyFont="1" applyProtection="1">
      <protection locked="0"/>
    </xf>
    <xf numFmtId="3" fontId="21" fillId="0" borderId="0" xfId="2824" applyNumberFormat="1" applyFont="1" applyProtection="1">
      <protection locked="0"/>
    </xf>
    <xf numFmtId="0" fontId="21" fillId="87" borderId="2" xfId="2824" applyFont="1" applyFill="1" applyBorder="1" applyAlignment="1" applyProtection="1">
      <alignment horizontal="center" vertical="center" wrapText="1"/>
      <protection locked="0"/>
    </xf>
    <xf numFmtId="0" fontId="21" fillId="87" borderId="24" xfId="2824" applyFont="1" applyFill="1" applyBorder="1" applyAlignment="1" applyProtection="1">
      <alignment horizontal="center" vertical="center" wrapText="1"/>
      <protection locked="0"/>
    </xf>
    <xf numFmtId="0" fontId="21" fillId="0" borderId="47" xfId="2824" applyFont="1" applyBorder="1" applyAlignment="1" applyProtection="1">
      <alignment horizontal="center" vertical="center"/>
      <protection locked="0"/>
    </xf>
    <xf numFmtId="0" fontId="21" fillId="0" borderId="48" xfId="2824" applyFont="1" applyBorder="1" applyAlignment="1" applyProtection="1">
      <alignment horizontal="center" vertical="center"/>
      <protection locked="0"/>
    </xf>
    <xf numFmtId="0" fontId="21" fillId="0" borderId="48" xfId="2824" applyFont="1" applyBorder="1" applyAlignment="1" applyProtection="1">
      <alignment horizontal="center" vertical="center" wrapText="1"/>
      <protection locked="0"/>
    </xf>
    <xf numFmtId="3" fontId="21" fillId="0" borderId="0" xfId="2824" applyNumberFormat="1" applyFont="1" applyAlignment="1" applyProtection="1">
      <alignment horizontal="center" vertical="center"/>
      <protection locked="0"/>
    </xf>
    <xf numFmtId="0" fontId="237" fillId="68" borderId="2" xfId="2824" applyFont="1" applyFill="1" applyBorder="1" applyAlignment="1" applyProtection="1">
      <alignment horizontal="center" vertical="center" wrapText="1"/>
      <protection locked="0"/>
    </xf>
    <xf numFmtId="0" fontId="237" fillId="68" borderId="24" xfId="2824" applyFont="1" applyFill="1" applyBorder="1" applyAlignment="1" applyProtection="1">
      <alignment horizontal="center" vertical="center" wrapText="1"/>
      <protection locked="0"/>
    </xf>
    <xf numFmtId="0" fontId="21" fillId="0" borderId="54" xfId="2824" applyFont="1" applyBorder="1" applyAlignment="1" applyProtection="1">
      <alignment horizontal="center" vertical="center"/>
      <protection locked="0" hidden="1"/>
    </xf>
    <xf numFmtId="0" fontId="21" fillId="0" borderId="20" xfId="2824" applyFont="1" applyBorder="1" applyAlignment="1" applyProtection="1">
      <alignment vertical="center"/>
      <protection locked="0" hidden="1"/>
    </xf>
    <xf numFmtId="0" fontId="21" fillId="0" borderId="32" xfId="2824" applyFont="1" applyBorder="1" applyAlignment="1" applyProtection="1">
      <alignment horizontal="center" vertical="center" wrapText="1"/>
      <protection locked="0" hidden="1"/>
    </xf>
    <xf numFmtId="175" fontId="21" fillId="0" borderId="55" xfId="1899" applyNumberFormat="1" applyFont="1" applyFill="1" applyBorder="1" applyAlignment="1" applyProtection="1">
      <alignment vertical="center"/>
      <protection hidden="1"/>
    </xf>
    <xf numFmtId="175" fontId="21" fillId="0" borderId="0" xfId="1899" applyNumberFormat="1" applyFont="1" applyBorder="1" applyAlignment="1" applyProtection="1">
      <alignment horizontal="center" vertical="center"/>
      <protection locked="0"/>
    </xf>
    <xf numFmtId="0" fontId="21" fillId="0" borderId="1" xfId="2824" applyFont="1" applyBorder="1" applyAlignment="1" applyProtection="1">
      <alignment horizontal="center" vertical="center"/>
      <protection locked="0"/>
    </xf>
    <xf numFmtId="0" fontId="302" fillId="68" borderId="2" xfId="2824" applyFont="1" applyFill="1" applyBorder="1" applyAlignment="1" applyProtection="1">
      <alignment horizontal="center" vertical="center"/>
      <protection locked="0"/>
    </xf>
    <xf numFmtId="0" fontId="302" fillId="68" borderId="24" xfId="2824" applyFont="1" applyFill="1" applyBorder="1" applyAlignment="1" applyProtection="1">
      <alignment horizontal="center" vertical="center"/>
      <protection locked="0"/>
    </xf>
    <xf numFmtId="0" fontId="17" fillId="0" borderId="49" xfId="2824" applyFont="1" applyBorder="1" applyAlignment="1" applyProtection="1">
      <alignment horizontal="center" vertical="center"/>
      <protection locked="0"/>
    </xf>
    <xf numFmtId="0" fontId="8" fillId="0" borderId="20" xfId="2824" applyFont="1" applyBorder="1" applyAlignment="1" applyProtection="1">
      <alignment vertical="center"/>
      <protection locked="0" hidden="1"/>
    </xf>
    <xf numFmtId="315" fontId="6" fillId="0" borderId="1" xfId="2824" applyNumberFormat="1" applyBorder="1" applyAlignment="1" applyProtection="1">
      <alignment horizontal="center" vertical="center"/>
      <protection hidden="1"/>
    </xf>
    <xf numFmtId="175" fontId="17" fillId="0" borderId="50" xfId="1899" applyNumberFormat="1" applyFont="1" applyBorder="1" applyAlignment="1" applyProtection="1">
      <alignment vertical="center"/>
      <protection locked="0"/>
    </xf>
    <xf numFmtId="3" fontId="17" fillId="0" borderId="0" xfId="2824" applyNumberFormat="1" applyFont="1" applyAlignment="1" applyProtection="1">
      <alignment vertical="center"/>
      <protection locked="0"/>
    </xf>
    <xf numFmtId="0" fontId="17" fillId="0" borderId="0" xfId="2824" applyFont="1"/>
    <xf numFmtId="0" fontId="237" fillId="68" borderId="2" xfId="2824" applyFont="1" applyFill="1" applyBorder="1" applyAlignment="1" applyProtection="1">
      <alignment horizontal="center" vertical="center"/>
      <protection locked="0"/>
    </xf>
    <xf numFmtId="0" fontId="237" fillId="68" borderId="24" xfId="2824" applyFont="1" applyFill="1" applyBorder="1" applyAlignment="1" applyProtection="1">
      <alignment horizontal="center" vertical="center"/>
      <protection locked="0"/>
    </xf>
    <xf numFmtId="0" fontId="6" fillId="0" borderId="49" xfId="2824" applyBorder="1" applyAlignment="1" applyProtection="1">
      <alignment horizontal="center" vertical="center"/>
      <protection locked="0"/>
    </xf>
    <xf numFmtId="174" fontId="6" fillId="0" borderId="0" xfId="2824" applyNumberFormat="1" applyAlignment="1" applyProtection="1">
      <alignment vertical="center"/>
      <protection locked="0"/>
    </xf>
    <xf numFmtId="172" fontId="17" fillId="0" borderId="0" xfId="2824" applyNumberFormat="1" applyFont="1" applyAlignment="1" applyProtection="1">
      <alignment vertical="center"/>
      <protection locked="0"/>
    </xf>
    <xf numFmtId="171" fontId="17" fillId="0" borderId="0" xfId="1899" applyFont="1"/>
    <xf numFmtId="3" fontId="6" fillId="0" borderId="0" xfId="2824" applyNumberFormat="1" applyAlignment="1" applyProtection="1">
      <alignment vertical="center"/>
      <protection locked="0"/>
    </xf>
    <xf numFmtId="0" fontId="17" fillId="0" borderId="77" xfId="2824" applyFont="1" applyBorder="1" applyAlignment="1" applyProtection="1">
      <alignment horizontal="center" vertical="center"/>
      <protection locked="0"/>
    </xf>
    <xf numFmtId="0" fontId="6" fillId="0" borderId="77" xfId="2824" applyBorder="1" applyAlignment="1" applyProtection="1">
      <alignment horizontal="center" vertical="center"/>
      <protection locked="0"/>
    </xf>
    <xf numFmtId="0" fontId="6" fillId="0" borderId="78" xfId="2824" applyBorder="1" applyAlignment="1" applyProtection="1">
      <alignment horizontal="center" vertical="center"/>
      <protection locked="0"/>
    </xf>
    <xf numFmtId="0" fontId="6" fillId="0" borderId="79" xfId="2824" applyBorder="1" applyAlignment="1" applyProtection="1">
      <alignment vertical="center"/>
      <protection locked="0"/>
    </xf>
    <xf numFmtId="175" fontId="6" fillId="0" borderId="80" xfId="1899" applyNumberFormat="1" applyFont="1" applyFill="1" applyBorder="1" applyAlignment="1" applyProtection="1">
      <alignment vertical="center"/>
      <protection locked="0"/>
    </xf>
    <xf numFmtId="0" fontId="21" fillId="0" borderId="81" xfId="2824" applyFont="1" applyBorder="1" applyAlignment="1" applyProtection="1">
      <alignment horizontal="center" vertical="center"/>
      <protection locked="0" hidden="1"/>
    </xf>
    <xf numFmtId="0" fontId="21" fillId="0" borderId="29" xfId="2824" applyFont="1" applyBorder="1" applyAlignment="1" applyProtection="1">
      <alignment vertical="center"/>
      <protection locked="0" hidden="1"/>
    </xf>
    <xf numFmtId="0" fontId="21" fillId="0" borderId="29" xfId="2824" applyFont="1" applyBorder="1" applyAlignment="1" applyProtection="1">
      <alignment horizontal="center" vertical="center"/>
      <protection locked="0" hidden="1"/>
    </xf>
    <xf numFmtId="0" fontId="21" fillId="0" borderId="49" xfId="2824" applyFont="1" applyBorder="1" applyAlignment="1" applyProtection="1">
      <alignment horizontal="center" vertical="center"/>
      <protection locked="0" hidden="1"/>
    </xf>
    <xf numFmtId="328" fontId="6" fillId="0" borderId="1" xfId="2824" applyNumberFormat="1" applyBorder="1" applyAlignment="1" applyProtection="1">
      <alignment horizontal="center" vertical="center"/>
      <protection hidden="1"/>
    </xf>
    <xf numFmtId="175" fontId="6" fillId="0" borderId="50" xfId="1899" applyNumberFormat="1" applyFont="1" applyBorder="1" applyAlignment="1" applyProtection="1">
      <alignment vertical="center"/>
      <protection hidden="1"/>
    </xf>
    <xf numFmtId="0" fontId="6" fillId="0" borderId="78" xfId="2824" applyBorder="1" applyAlignment="1" applyProtection="1">
      <alignment horizontal="center" vertical="center"/>
      <protection locked="0" hidden="1"/>
    </xf>
    <xf numFmtId="0" fontId="6" fillId="0" borderId="79" xfId="2824" applyBorder="1" applyAlignment="1" applyProtection="1">
      <alignment vertical="center"/>
      <protection locked="0" hidden="1"/>
    </xf>
    <xf numFmtId="0" fontId="6" fillId="0" borderId="79" xfId="2824" applyBorder="1" applyAlignment="1" applyProtection="1">
      <alignment horizontal="center" vertical="center"/>
      <protection locked="0" hidden="1"/>
    </xf>
    <xf numFmtId="3" fontId="6" fillId="0" borderId="80" xfId="2824" applyNumberFormat="1" applyBorder="1" applyAlignment="1" applyProtection="1">
      <alignment vertical="center"/>
      <protection locked="0" hidden="1"/>
    </xf>
    <xf numFmtId="0" fontId="21" fillId="0" borderId="20" xfId="2824" applyFont="1" applyBorder="1" applyAlignment="1" applyProtection="1">
      <alignment horizontal="center" vertical="center"/>
      <protection locked="0" hidden="1"/>
    </xf>
    <xf numFmtId="174" fontId="21" fillId="0" borderId="0" xfId="2824" applyNumberFormat="1" applyFont="1" applyAlignment="1" applyProtection="1">
      <alignment vertical="center"/>
      <protection locked="0"/>
    </xf>
    <xf numFmtId="0" fontId="6" fillId="0" borderId="1" xfId="2824" applyBorder="1" applyAlignment="1" applyProtection="1">
      <alignment vertical="center"/>
      <protection hidden="1"/>
    </xf>
    <xf numFmtId="322" fontId="6" fillId="0" borderId="0" xfId="2824" applyNumberFormat="1" applyAlignment="1" applyProtection="1">
      <alignment vertical="center"/>
      <protection locked="0"/>
    </xf>
    <xf numFmtId="0" fontId="6" fillId="0" borderId="77" xfId="2824" applyBorder="1" applyAlignment="1" applyProtection="1">
      <alignment horizontal="center" vertical="center"/>
      <protection locked="0" hidden="1"/>
    </xf>
    <xf numFmtId="3" fontId="6" fillId="0" borderId="55" xfId="2824" applyNumberFormat="1" applyBorder="1" applyAlignment="1" applyProtection="1">
      <alignment vertical="center"/>
      <protection hidden="1"/>
    </xf>
    <xf numFmtId="0" fontId="6" fillId="0" borderId="79" xfId="2824" applyBorder="1" applyAlignment="1" applyProtection="1">
      <alignment vertical="center" shrinkToFit="1"/>
      <protection locked="0" hidden="1"/>
    </xf>
    <xf numFmtId="3" fontId="6" fillId="0" borderId="80" xfId="2824" applyNumberFormat="1" applyBorder="1" applyAlignment="1" applyProtection="1">
      <alignment vertical="center"/>
      <protection hidden="1"/>
    </xf>
    <xf numFmtId="172" fontId="6" fillId="0" borderId="0" xfId="2824" applyNumberFormat="1" applyAlignment="1" applyProtection="1">
      <alignment vertical="center"/>
      <protection locked="0"/>
    </xf>
    <xf numFmtId="0" fontId="21" fillId="0" borderId="20" xfId="2824" applyFont="1" applyBorder="1" applyAlignment="1" applyProtection="1">
      <alignment vertical="center" shrinkToFit="1"/>
      <protection locked="0" hidden="1"/>
    </xf>
    <xf numFmtId="316" fontId="6" fillId="0" borderId="0" xfId="2824" applyNumberFormat="1" applyAlignment="1" applyProtection="1">
      <alignment vertical="center"/>
      <protection locked="0"/>
    </xf>
    <xf numFmtId="0" fontId="6" fillId="0" borderId="49" xfId="2824" applyBorder="1" applyAlignment="1" applyProtection="1">
      <alignment horizontal="center" vertical="center" wrapText="1"/>
      <protection locked="0" hidden="1"/>
    </xf>
    <xf numFmtId="329" fontId="6" fillId="0" borderId="1" xfId="2824" applyNumberFormat="1" applyBorder="1" applyAlignment="1" applyProtection="1">
      <alignment horizontal="center" vertical="center"/>
      <protection hidden="1"/>
    </xf>
    <xf numFmtId="0" fontId="6" fillId="0" borderId="49" xfId="2824" applyBorder="1" applyAlignment="1" applyProtection="1">
      <alignment horizontal="center" vertical="center"/>
      <protection locked="0" hidden="1"/>
    </xf>
    <xf numFmtId="3" fontId="21" fillId="0" borderId="0" xfId="2824" applyNumberFormat="1" applyFont="1" applyAlignment="1" applyProtection="1">
      <alignment vertical="center"/>
      <protection locked="0"/>
    </xf>
    <xf numFmtId="175" fontId="21" fillId="0" borderId="74" xfId="1899" applyNumberFormat="1" applyFont="1" applyFill="1" applyBorder="1" applyAlignment="1" applyProtection="1">
      <alignment vertical="center"/>
      <protection locked="0"/>
    </xf>
    <xf numFmtId="175" fontId="21" fillId="0" borderId="88" xfId="1899" applyNumberFormat="1" applyFont="1" applyFill="1" applyBorder="1" applyAlignment="1" applyProtection="1">
      <alignment vertical="center"/>
      <protection locked="0"/>
    </xf>
    <xf numFmtId="175" fontId="21" fillId="0" borderId="55" xfId="1899" applyNumberFormat="1" applyFont="1" applyFill="1" applyBorder="1" applyAlignment="1" applyProtection="1">
      <alignment vertical="center"/>
      <protection locked="0"/>
    </xf>
    <xf numFmtId="177" fontId="243" fillId="0" borderId="0" xfId="1899" applyNumberFormat="1" applyFont="1"/>
    <xf numFmtId="0" fontId="6" fillId="0" borderId="1" xfId="2824" applyBorder="1" applyAlignment="1" applyProtection="1">
      <alignment vertical="center"/>
      <protection locked="0" hidden="1"/>
    </xf>
    <xf numFmtId="0" fontId="6" fillId="0" borderId="1" xfId="2824" applyBorder="1" applyAlignment="1" applyProtection="1">
      <alignment horizontal="center" vertical="center"/>
      <protection locked="0" hidden="1"/>
    </xf>
    <xf numFmtId="0" fontId="21" fillId="0" borderId="45" xfId="2824" applyFont="1" applyBorder="1" applyAlignment="1" applyProtection="1">
      <alignment horizontal="center" vertical="center"/>
      <protection locked="0" hidden="1"/>
    </xf>
    <xf numFmtId="0" fontId="6" fillId="0" borderId="20" xfId="2824" applyBorder="1" applyAlignment="1" applyProtection="1">
      <alignment vertical="center"/>
      <protection locked="0" hidden="1"/>
    </xf>
    <xf numFmtId="0" fontId="6" fillId="0" borderId="32" xfId="2824" applyBorder="1" applyAlignment="1" applyProtection="1">
      <alignment horizontal="center" vertical="center"/>
      <protection locked="0" hidden="1"/>
    </xf>
    <xf numFmtId="175" fontId="238" fillId="0" borderId="0" xfId="1899" applyNumberFormat="1" applyFont="1" applyAlignment="1" applyProtection="1">
      <alignment horizontal="centerContinuous" vertical="center"/>
      <protection locked="0"/>
    </xf>
    <xf numFmtId="0" fontId="6" fillId="0" borderId="51" xfId="2824" applyBorder="1" applyAlignment="1" applyProtection="1">
      <alignment horizontal="center" vertical="center"/>
      <protection locked="0"/>
    </xf>
    <xf numFmtId="0" fontId="12" fillId="0" borderId="52" xfId="2824" applyFont="1" applyBorder="1" applyAlignment="1" applyProtection="1">
      <alignment vertical="center"/>
      <protection locked="0"/>
    </xf>
    <xf numFmtId="0" fontId="6" fillId="0" borderId="52" xfId="2824" applyBorder="1" applyAlignment="1" applyProtection="1">
      <alignment horizontal="center" vertical="center"/>
      <protection locked="0"/>
    </xf>
    <xf numFmtId="3" fontId="6" fillId="0" borderId="53" xfId="2824" applyNumberFormat="1" applyBorder="1" applyAlignment="1" applyProtection="1">
      <alignment vertical="center"/>
      <protection locked="0"/>
    </xf>
    <xf numFmtId="175" fontId="235" fillId="0" borderId="0" xfId="2824" applyNumberFormat="1" applyFont="1" applyAlignment="1" applyProtection="1">
      <alignment horizontal="centerContinuous" vertical="center"/>
      <protection locked="0"/>
    </xf>
    <xf numFmtId="0" fontId="6" fillId="0" borderId="0" xfId="2824" applyAlignment="1" applyProtection="1">
      <alignment horizontal="center" vertical="center"/>
      <protection locked="0"/>
    </xf>
    <xf numFmtId="0" fontId="6" fillId="0" borderId="0" xfId="2824" applyAlignment="1" applyProtection="1">
      <alignment vertical="center"/>
      <protection locked="0"/>
    </xf>
    <xf numFmtId="0" fontId="235" fillId="0" borderId="0" xfId="2824" applyFont="1" applyAlignment="1" applyProtection="1">
      <alignment horizontal="centerContinuous" vertical="center"/>
      <protection locked="0"/>
    </xf>
    <xf numFmtId="3" fontId="6" fillId="0" borderId="0" xfId="2824" applyNumberFormat="1"/>
    <xf numFmtId="0" fontId="239" fillId="0" borderId="82" xfId="2824" applyFont="1" applyBorder="1" applyAlignment="1">
      <alignment horizontal="right" wrapText="1"/>
    </xf>
    <xf numFmtId="3" fontId="239" fillId="0" borderId="83" xfId="2824" applyNumberFormat="1" applyFont="1" applyBorder="1" applyAlignment="1">
      <alignment horizontal="right" wrapText="1"/>
    </xf>
    <xf numFmtId="0" fontId="239" fillId="0" borderId="83" xfId="2824" applyFont="1" applyBorder="1" applyAlignment="1">
      <alignment horizontal="right" wrapText="1"/>
    </xf>
    <xf numFmtId="0" fontId="240" fillId="0" borderId="25" xfId="2824" applyFont="1" applyBorder="1" applyAlignment="1">
      <alignment horizontal="center" wrapText="1"/>
    </xf>
    <xf numFmtId="3" fontId="240" fillId="0" borderId="84" xfId="2824" applyNumberFormat="1" applyFont="1" applyBorder="1" applyAlignment="1">
      <alignment horizontal="center" wrapText="1"/>
    </xf>
    <xf numFmtId="0" fontId="240" fillId="0" borderId="84" xfId="2824" applyFont="1" applyBorder="1" applyAlignment="1">
      <alignment horizontal="center" wrapText="1"/>
    </xf>
    <xf numFmtId="330" fontId="6" fillId="0" borderId="0" xfId="2824" applyNumberFormat="1" applyAlignment="1" applyProtection="1">
      <alignment horizontal="center" vertical="center"/>
      <protection locked="0"/>
    </xf>
    <xf numFmtId="330" fontId="303" fillId="0" borderId="0" xfId="2824" applyNumberFormat="1" applyFont="1" applyAlignment="1" applyProtection="1">
      <alignment horizontal="center"/>
      <protection locked="0"/>
    </xf>
    <xf numFmtId="330" fontId="304" fillId="0" borderId="0" xfId="2824" applyNumberFormat="1" applyFont="1" applyAlignment="1" applyProtection="1">
      <alignment horizontal="center" vertical="center" wrapText="1"/>
      <protection locked="0"/>
    </xf>
    <xf numFmtId="330" fontId="304" fillId="0" borderId="0" xfId="2824" applyNumberFormat="1" applyFont="1" applyAlignment="1" applyProtection="1">
      <alignment horizontal="center" wrapText="1"/>
      <protection locked="0"/>
    </xf>
    <xf numFmtId="330" fontId="6" fillId="0" borderId="0" xfId="2824" applyNumberFormat="1" applyAlignment="1" applyProtection="1">
      <alignment horizontal="center"/>
      <protection locked="0"/>
    </xf>
    <xf numFmtId="330" fontId="6" fillId="0" borderId="0" xfId="1899" applyNumberFormat="1" applyFont="1" applyFill="1" applyBorder="1" applyAlignment="1" applyProtection="1">
      <alignment horizontal="center" vertical="center"/>
      <protection hidden="1"/>
    </xf>
    <xf numFmtId="330" fontId="6" fillId="0" borderId="0" xfId="2824" applyNumberFormat="1" applyAlignment="1">
      <alignment horizontal="center"/>
    </xf>
    <xf numFmtId="331" fontId="6" fillId="0" borderId="1" xfId="2824" applyNumberFormat="1" applyBorder="1" applyAlignment="1" applyProtection="1">
      <alignment horizontal="center" vertical="center"/>
      <protection hidden="1"/>
    </xf>
    <xf numFmtId="332" fontId="6" fillId="0" borderId="1" xfId="2824" applyNumberFormat="1" applyBorder="1" applyAlignment="1" applyProtection="1">
      <alignment horizontal="center" vertical="center"/>
      <protection hidden="1"/>
    </xf>
    <xf numFmtId="0" fontId="17" fillId="0" borderId="20" xfId="2824" applyFont="1" applyBorder="1" applyAlignment="1" applyProtection="1">
      <alignment vertical="center"/>
      <protection locked="0" hidden="1"/>
    </xf>
    <xf numFmtId="171" fontId="17" fillId="0" borderId="0" xfId="1876" applyFont="1"/>
    <xf numFmtId="175" fontId="243" fillId="0" borderId="20" xfId="1876" applyNumberFormat="1" applyFont="1" applyBorder="1" applyAlignment="1">
      <alignment vertical="center" wrapText="1"/>
    </xf>
    <xf numFmtId="175" fontId="243" fillId="0" borderId="55" xfId="1899" applyNumberFormat="1" applyFont="1" applyBorder="1" applyAlignment="1">
      <alignment vertical="center" wrapText="1"/>
    </xf>
    <xf numFmtId="175" fontId="243" fillId="0" borderId="80" xfId="1899" applyNumberFormat="1" applyFont="1" applyBorder="1" applyAlignment="1">
      <alignment vertical="center" wrapText="1"/>
    </xf>
    <xf numFmtId="177" fontId="243" fillId="0" borderId="1" xfId="1899" applyNumberFormat="1" applyFont="1" applyBorder="1" applyAlignment="1">
      <alignment horizontal="right" vertical="center" wrapText="1"/>
    </xf>
    <xf numFmtId="175" fontId="17" fillId="0" borderId="50" xfId="1876" applyNumberFormat="1" applyFont="1" applyBorder="1" applyAlignment="1" applyProtection="1">
      <alignment vertical="center"/>
      <protection locked="0"/>
    </xf>
    <xf numFmtId="173" fontId="0" fillId="0" borderId="0" xfId="0" applyNumberFormat="1" applyAlignment="1">
      <alignment horizontal="center" vertical="center"/>
    </xf>
    <xf numFmtId="173" fontId="245" fillId="0" borderId="0" xfId="0" applyNumberFormat="1" applyFont="1" applyAlignment="1">
      <alignment horizontal="center" vertical="center"/>
    </xf>
    <xf numFmtId="175" fontId="21" fillId="0" borderId="80" xfId="1899" applyNumberFormat="1" applyFont="1" applyFill="1" applyBorder="1" applyAlignment="1" applyProtection="1">
      <alignment vertical="center"/>
      <protection locked="0"/>
    </xf>
    <xf numFmtId="0" fontId="306" fillId="0" borderId="0" xfId="0" applyFont="1" applyAlignment="1">
      <alignment horizontal="center"/>
    </xf>
    <xf numFmtId="0" fontId="306" fillId="0" borderId="0" xfId="0" applyFont="1"/>
    <xf numFmtId="0" fontId="308" fillId="0" borderId="0" xfId="0" applyFont="1" applyAlignment="1">
      <alignment horizontal="center"/>
    </xf>
    <xf numFmtId="0" fontId="308" fillId="0" borderId="0" xfId="0" applyFont="1"/>
    <xf numFmtId="0" fontId="309" fillId="0" borderId="0" xfId="0" applyFont="1" applyAlignment="1">
      <alignment horizontal="center"/>
    </xf>
    <xf numFmtId="0" fontId="309" fillId="0" borderId="0" xfId="0" applyFont="1"/>
    <xf numFmtId="173" fontId="309" fillId="0" borderId="0" xfId="0" applyNumberFormat="1" applyFont="1"/>
    <xf numFmtId="3" fontId="309" fillId="0" borderId="0" xfId="0" applyNumberFormat="1" applyFont="1"/>
    <xf numFmtId="0" fontId="281" fillId="89" borderId="0" xfId="0" applyFont="1" applyFill="1" applyAlignment="1">
      <alignment horizontal="center" vertical="center"/>
    </xf>
    <xf numFmtId="173" fontId="283" fillId="0" borderId="9" xfId="0" applyNumberFormat="1" applyFont="1" applyBorder="1" applyAlignment="1">
      <alignment horizontal="center" vertical="center"/>
    </xf>
    <xf numFmtId="3" fontId="283" fillId="0" borderId="9" xfId="0" applyNumberFormat="1" applyFont="1" applyBorder="1" applyAlignment="1">
      <alignment horizontal="center" vertical="center"/>
    </xf>
    <xf numFmtId="3" fontId="283" fillId="0" borderId="88" xfId="0" applyNumberFormat="1" applyFont="1" applyBorder="1" applyAlignment="1">
      <alignment horizontal="center" vertical="center"/>
    </xf>
    <xf numFmtId="0" fontId="283" fillId="0" borderId="20" xfId="0" applyFont="1" applyBorder="1" applyAlignment="1">
      <alignment vertical="center"/>
    </xf>
    <xf numFmtId="0" fontId="283" fillId="0" borderId="20" xfId="0" applyFont="1" applyBorder="1" applyAlignment="1">
      <alignment horizontal="center" vertical="center"/>
    </xf>
    <xf numFmtId="173" fontId="283" fillId="0" borderId="20" xfId="0" applyNumberFormat="1" applyFont="1" applyBorder="1" applyAlignment="1">
      <alignment vertical="center"/>
    </xf>
    <xf numFmtId="3" fontId="283" fillId="0" borderId="20" xfId="0" applyNumberFormat="1" applyFont="1" applyBorder="1" applyAlignment="1">
      <alignment vertical="center"/>
    </xf>
    <xf numFmtId="3" fontId="283" fillId="0" borderId="55" xfId="0" applyNumberFormat="1" applyFont="1" applyBorder="1" applyAlignment="1">
      <alignment vertical="center"/>
    </xf>
    <xf numFmtId="0" fontId="281" fillId="0" borderId="0" xfId="0" applyFont="1" applyAlignment="1">
      <alignment horizontal="center" vertical="center"/>
    </xf>
    <xf numFmtId="0" fontId="281" fillId="0" borderId="49" xfId="0" applyFont="1" applyBorder="1" applyAlignment="1">
      <alignment horizontal="center" vertical="center"/>
    </xf>
    <xf numFmtId="0" fontId="310" fillId="0" borderId="1" xfId="0" applyFont="1" applyBorder="1" applyAlignment="1">
      <alignment vertical="center"/>
    </xf>
    <xf numFmtId="173" fontId="281" fillId="0" borderId="1" xfId="0" applyNumberFormat="1" applyFont="1" applyBorder="1" applyAlignment="1">
      <alignment vertical="center"/>
    </xf>
    <xf numFmtId="3" fontId="281" fillId="0" borderId="1" xfId="0" applyNumberFormat="1" applyFont="1" applyBorder="1" applyAlignment="1">
      <alignment vertical="center"/>
    </xf>
    <xf numFmtId="3" fontId="281" fillId="0" borderId="50" xfId="0" applyNumberFormat="1" applyFont="1" applyBorder="1" applyAlignment="1">
      <alignment vertical="center"/>
    </xf>
    <xf numFmtId="175" fontId="281" fillId="0" borderId="0" xfId="1899" applyNumberFormat="1" applyFont="1" applyAlignment="1">
      <alignment vertical="center"/>
    </xf>
    <xf numFmtId="0" fontId="311" fillId="0" borderId="1" xfId="0" applyFont="1" applyBorder="1" applyAlignment="1">
      <alignment vertical="center"/>
    </xf>
    <xf numFmtId="0" fontId="281" fillId="0" borderId="1" xfId="0" applyFont="1" applyBorder="1" applyAlignment="1">
      <alignment vertical="center" wrapText="1"/>
    </xf>
    <xf numFmtId="0" fontId="281" fillId="0" borderId="79" xfId="0" applyFont="1" applyBorder="1" applyAlignment="1">
      <alignment vertical="center"/>
    </xf>
    <xf numFmtId="0" fontId="281" fillId="0" borderId="79" xfId="0" applyFont="1" applyBorder="1" applyAlignment="1">
      <alignment horizontal="center" vertical="center"/>
    </xf>
    <xf numFmtId="173" fontId="281" fillId="0" borderId="79" xfId="0" applyNumberFormat="1" applyFont="1" applyBorder="1" applyAlignment="1">
      <alignment vertical="center"/>
    </xf>
    <xf numFmtId="3" fontId="281" fillId="0" borderId="79" xfId="0" applyNumberFormat="1" applyFont="1" applyBorder="1" applyAlignment="1">
      <alignment vertical="center"/>
    </xf>
    <xf numFmtId="3" fontId="281" fillId="0" borderId="80" xfId="0" applyNumberFormat="1" applyFont="1" applyBorder="1" applyAlignment="1">
      <alignment vertical="center"/>
    </xf>
    <xf numFmtId="0" fontId="281" fillId="0" borderId="54" xfId="0" applyFont="1" applyBorder="1" applyAlignment="1">
      <alignment horizontal="center" vertical="center"/>
    </xf>
    <xf numFmtId="0" fontId="281" fillId="0" borderId="51" xfId="0" applyFont="1" applyBorder="1" applyAlignment="1">
      <alignment horizontal="center" vertical="center"/>
    </xf>
    <xf numFmtId="0" fontId="281" fillId="0" borderId="52" xfId="0" applyFont="1" applyBorder="1" applyAlignment="1">
      <alignment vertical="center"/>
    </xf>
    <xf numFmtId="0" fontId="281" fillId="0" borderId="52" xfId="0" applyFont="1" applyBorder="1" applyAlignment="1">
      <alignment horizontal="center" vertical="center"/>
    </xf>
    <xf numFmtId="173" fontId="281" fillId="0" borderId="52" xfId="0" applyNumberFormat="1" applyFont="1" applyBorder="1" applyAlignment="1">
      <alignment vertical="center"/>
    </xf>
    <xf numFmtId="3" fontId="281" fillId="0" borderId="52" xfId="0" applyNumberFormat="1" applyFont="1" applyBorder="1" applyAlignment="1">
      <alignment vertical="center"/>
    </xf>
    <xf numFmtId="3" fontId="281" fillId="0" borderId="53" xfId="0" applyNumberFormat="1" applyFont="1" applyBorder="1" applyAlignment="1">
      <alignment vertical="center"/>
    </xf>
    <xf numFmtId="173" fontId="306" fillId="0" borderId="0" xfId="0" applyNumberFormat="1" applyFont="1"/>
    <xf numFmtId="3" fontId="306" fillId="0" borderId="0" xfId="0" applyNumberFormat="1" applyFont="1"/>
    <xf numFmtId="0" fontId="281" fillId="0" borderId="20" xfId="0" applyFont="1" applyBorder="1" applyAlignment="1">
      <alignment vertical="center"/>
    </xf>
    <xf numFmtId="3" fontId="281" fillId="0" borderId="20" xfId="0" applyNumberFormat="1" applyFont="1" applyBorder="1" applyAlignment="1">
      <alignment vertical="center"/>
    </xf>
    <xf numFmtId="173" fontId="281" fillId="0" borderId="20" xfId="0" applyNumberFormat="1" applyFont="1" applyBorder="1" applyAlignment="1">
      <alignment vertical="center"/>
    </xf>
    <xf numFmtId="173" fontId="281" fillId="0" borderId="55" xfId="0" applyNumberFormat="1" applyFont="1" applyBorder="1" applyAlignment="1">
      <alignment vertical="center"/>
    </xf>
    <xf numFmtId="4" fontId="281" fillId="0" borderId="1" xfId="0" applyNumberFormat="1" applyFont="1" applyBorder="1" applyAlignment="1">
      <alignment vertical="center"/>
    </xf>
    <xf numFmtId="173" fontId="281" fillId="0" borderId="50" xfId="0" applyNumberFormat="1" applyFont="1" applyBorder="1" applyAlignment="1">
      <alignment vertical="center"/>
    </xf>
    <xf numFmtId="173" fontId="281" fillId="0" borderId="53" xfId="0" applyNumberFormat="1" applyFont="1" applyBorder="1" applyAlignment="1">
      <alignment vertical="center"/>
    </xf>
    <xf numFmtId="0" fontId="312" fillId="0" borderId="0" xfId="0" applyFont="1"/>
    <xf numFmtId="0" fontId="312" fillId="0" borderId="0" xfId="0" applyFont="1" applyAlignment="1">
      <alignment horizontal="center"/>
    </xf>
    <xf numFmtId="173" fontId="312" fillId="0" borderId="0" xfId="0" applyNumberFormat="1" applyFont="1"/>
    <xf numFmtId="0" fontId="283" fillId="0" borderId="48" xfId="0" applyFont="1" applyBorder="1" applyAlignment="1">
      <alignment horizontal="center" vertical="center"/>
    </xf>
    <xf numFmtId="0" fontId="283" fillId="0" borderId="48" xfId="0" applyFont="1" applyBorder="1" applyAlignment="1">
      <alignment horizontal="center" vertical="center" wrapText="1"/>
    </xf>
    <xf numFmtId="173" fontId="283" fillId="0" borderId="48" xfId="0" applyNumberFormat="1" applyFont="1" applyBorder="1" applyAlignment="1">
      <alignment horizontal="center" vertical="center" wrapText="1"/>
    </xf>
    <xf numFmtId="173" fontId="283" fillId="0" borderId="38" xfId="0" applyNumberFormat="1" applyFont="1" applyBorder="1" applyAlignment="1">
      <alignment horizontal="center" vertical="center"/>
    </xf>
    <xf numFmtId="0" fontId="281" fillId="89" borderId="0" xfId="0" applyFont="1" applyFill="1" applyAlignment="1">
      <alignment horizontal="center"/>
    </xf>
    <xf numFmtId="0" fontId="281" fillId="0" borderId="0" xfId="0" applyFont="1"/>
    <xf numFmtId="0" fontId="281" fillId="0" borderId="20" xfId="0" applyFont="1" applyBorder="1" applyAlignment="1">
      <alignment horizontal="center" vertical="center"/>
    </xf>
    <xf numFmtId="175" fontId="281" fillId="0" borderId="0" xfId="1876" applyNumberFormat="1" applyFont="1" applyAlignment="1">
      <alignment horizontal="center" vertical="center"/>
    </xf>
    <xf numFmtId="173" fontId="281" fillId="0" borderId="0" xfId="0" applyNumberFormat="1" applyFont="1" applyAlignment="1">
      <alignment vertical="center"/>
    </xf>
    <xf numFmtId="3" fontId="312" fillId="0" borderId="0" xfId="0" applyNumberFormat="1" applyFont="1" applyAlignment="1">
      <alignment horizontal="center"/>
    </xf>
    <xf numFmtId="3" fontId="283" fillId="0" borderId="47" xfId="0" applyNumberFormat="1" applyFont="1" applyBorder="1" applyAlignment="1">
      <alignment horizontal="center" vertical="center"/>
    </xf>
    <xf numFmtId="3" fontId="281" fillId="0" borderId="54" xfId="0" applyNumberFormat="1" applyFont="1" applyBorder="1" applyAlignment="1">
      <alignment horizontal="center" vertical="center"/>
    </xf>
    <xf numFmtId="3" fontId="281" fillId="0" borderId="49" xfId="0" applyNumberFormat="1" applyFont="1" applyBorder="1" applyAlignment="1">
      <alignment horizontal="center" vertical="center"/>
    </xf>
    <xf numFmtId="3" fontId="281" fillId="0" borderId="51" xfId="0" applyNumberFormat="1" applyFont="1" applyBorder="1" applyAlignment="1">
      <alignment horizontal="center" vertical="center"/>
    </xf>
    <xf numFmtId="3" fontId="306" fillId="0" borderId="0" xfId="0" applyNumberFormat="1" applyFont="1" applyAlignment="1">
      <alignment horizontal="center"/>
    </xf>
    <xf numFmtId="0" fontId="4" fillId="0" borderId="1" xfId="0" applyFont="1" applyBorder="1" applyAlignment="1">
      <alignment vertical="center"/>
    </xf>
    <xf numFmtId="0" fontId="4" fillId="0" borderId="1" xfId="0" applyFont="1" applyBorder="1" applyAlignment="1">
      <alignment horizontal="center" vertical="center"/>
    </xf>
    <xf numFmtId="173" fontId="4" fillId="0" borderId="1" xfId="0" applyNumberFormat="1" applyFont="1" applyBorder="1" applyAlignment="1">
      <alignment vertical="center"/>
    </xf>
    <xf numFmtId="173" fontId="4" fillId="0" borderId="1" xfId="2221" applyNumberFormat="1" applyFont="1" applyBorder="1" applyAlignment="1">
      <alignment vertical="center"/>
    </xf>
    <xf numFmtId="0" fontId="310" fillId="0" borderId="20" xfId="0" applyFont="1" applyBorder="1" applyAlignment="1">
      <alignment vertical="center"/>
    </xf>
    <xf numFmtId="172" fontId="313" fillId="0" borderId="1" xfId="0" applyNumberFormat="1" applyFont="1" applyBorder="1" applyAlignment="1">
      <alignment horizontal="right" vertical="center"/>
    </xf>
    <xf numFmtId="0" fontId="0" fillId="89" borderId="0" xfId="0" applyFill="1" applyAlignment="1">
      <alignment horizontal="center"/>
    </xf>
    <xf numFmtId="0" fontId="246" fillId="0" borderId="0" xfId="0" applyFont="1" applyAlignment="1">
      <alignment horizontal="center"/>
    </xf>
    <xf numFmtId="0" fontId="244" fillId="0" borderId="0" xfId="0" applyFont="1" applyAlignment="1">
      <alignment horizontal="center" vertical="center"/>
    </xf>
    <xf numFmtId="175" fontId="244" fillId="0" borderId="1" xfId="1899" applyNumberFormat="1" applyFont="1" applyBorder="1" applyAlignment="1">
      <alignment vertical="center"/>
    </xf>
    <xf numFmtId="175" fontId="244" fillId="0" borderId="50" xfId="1899" applyNumberFormat="1" applyFont="1" applyBorder="1" applyAlignment="1">
      <alignment vertical="center"/>
    </xf>
    <xf numFmtId="0" fontId="314" fillId="0" borderId="1" xfId="0" applyFont="1" applyBorder="1" applyAlignment="1">
      <alignment vertical="center" wrapText="1"/>
    </xf>
    <xf numFmtId="0" fontId="244" fillId="0" borderId="1" xfId="0" applyFont="1" applyBorder="1" applyAlignment="1">
      <alignment vertical="center" wrapText="1"/>
    </xf>
    <xf numFmtId="0" fontId="244" fillId="0" borderId="1" xfId="0" applyFont="1" applyBorder="1" applyAlignment="1">
      <alignment horizontal="center" vertical="center" wrapText="1"/>
    </xf>
    <xf numFmtId="178" fontId="244" fillId="0" borderId="1" xfId="1899" applyNumberFormat="1" applyFont="1" applyBorder="1" applyAlignment="1">
      <alignment horizontal="right" vertical="center" wrapText="1"/>
    </xf>
    <xf numFmtId="175" fontId="244" fillId="0" borderId="50" xfId="1876" applyNumberFormat="1" applyFont="1" applyBorder="1" applyAlignment="1">
      <alignment vertical="center" wrapText="1"/>
    </xf>
    <xf numFmtId="178" fontId="4" fillId="0" borderId="1" xfId="1899" applyNumberFormat="1" applyFont="1" applyBorder="1" applyAlignment="1">
      <alignment horizontal="right" vertical="center" wrapText="1"/>
    </xf>
    <xf numFmtId="175" fontId="244" fillId="0" borderId="1" xfId="1876" applyNumberFormat="1" applyFont="1" applyBorder="1" applyAlignment="1">
      <alignment vertical="center" wrapText="1"/>
    </xf>
    <xf numFmtId="0" fontId="5" fillId="0" borderId="1" xfId="0" applyFont="1" applyBorder="1" applyAlignment="1">
      <alignment vertical="center" wrapText="1"/>
    </xf>
    <xf numFmtId="175" fontId="244" fillId="0" borderId="1" xfId="1899" applyNumberFormat="1" applyFont="1" applyBorder="1" applyAlignment="1">
      <alignment vertical="center" wrapText="1"/>
    </xf>
    <xf numFmtId="175" fontId="244" fillId="0" borderId="50" xfId="1876" applyNumberFormat="1" applyFont="1" applyBorder="1" applyAlignment="1">
      <alignment vertical="center"/>
    </xf>
    <xf numFmtId="175" fontId="243" fillId="0" borderId="55" xfId="1876" applyNumberFormat="1" applyFont="1" applyBorder="1" applyAlignment="1">
      <alignment vertical="center" wrapText="1"/>
    </xf>
    <xf numFmtId="0" fontId="0" fillId="0" borderId="20" xfId="0" applyBorder="1" applyAlignment="1">
      <alignment vertical="center"/>
    </xf>
    <xf numFmtId="0" fontId="0" fillId="0" borderId="20" xfId="0" applyBorder="1" applyAlignment="1">
      <alignment horizontal="center" vertical="center"/>
    </xf>
    <xf numFmtId="172" fontId="0" fillId="0" borderId="20" xfId="0" applyNumberFormat="1" applyBorder="1" applyAlignment="1">
      <alignment horizontal="right" vertical="center"/>
    </xf>
    <xf numFmtId="173" fontId="0" fillId="0" borderId="55" xfId="0" applyNumberFormat="1" applyBorder="1" applyAlignment="1">
      <alignment vertical="center"/>
    </xf>
    <xf numFmtId="173" fontId="0" fillId="90" borderId="49" xfId="0" applyNumberFormat="1" applyFill="1" applyBorder="1" applyAlignment="1">
      <alignment horizontal="center" vertical="center"/>
    </xf>
    <xf numFmtId="331" fontId="6" fillId="0" borderId="79" xfId="2824" applyNumberFormat="1" applyBorder="1" applyAlignment="1" applyProtection="1">
      <alignment horizontal="center" vertical="center"/>
      <protection hidden="1"/>
    </xf>
    <xf numFmtId="176" fontId="281" fillId="0" borderId="0" xfId="0" applyNumberFormat="1" applyFont="1" applyAlignment="1">
      <alignment vertical="center"/>
    </xf>
    <xf numFmtId="0" fontId="6" fillId="0" borderId="96" xfId="2824" applyBorder="1" applyAlignment="1" applyProtection="1">
      <alignment horizontal="center" vertical="center"/>
      <protection locked="0" hidden="1"/>
    </xf>
    <xf numFmtId="0" fontId="6" fillId="0" borderId="9" xfId="2824" applyBorder="1" applyAlignment="1" applyProtection="1">
      <alignment vertical="center"/>
      <protection locked="0" hidden="1"/>
    </xf>
    <xf numFmtId="0" fontId="6" fillId="0" borderId="9" xfId="2824" applyBorder="1" applyAlignment="1" applyProtection="1">
      <alignment horizontal="center" vertical="center"/>
      <protection locked="0" hidden="1"/>
    </xf>
    <xf numFmtId="0" fontId="21" fillId="0" borderId="97" xfId="2824" applyFont="1" applyBorder="1" applyAlignment="1" applyProtection="1">
      <alignment horizontal="center" vertical="center"/>
      <protection locked="0" hidden="1"/>
    </xf>
    <xf numFmtId="0" fontId="21" fillId="0" borderId="2" xfId="2824" applyFont="1" applyBorder="1" applyAlignment="1" applyProtection="1">
      <alignment vertical="center"/>
      <protection locked="0" hidden="1"/>
    </xf>
    <xf numFmtId="0" fontId="21" fillId="0" borderId="2" xfId="2824" applyFont="1" applyBorder="1" applyAlignment="1" applyProtection="1">
      <alignment horizontal="center" vertical="center"/>
      <protection locked="0" hidden="1"/>
    </xf>
    <xf numFmtId="172" fontId="315" fillId="0" borderId="0" xfId="0" applyNumberFormat="1" applyFont="1" applyAlignment="1">
      <alignment horizontal="right"/>
    </xf>
    <xf numFmtId="172" fontId="316" fillId="0" borderId="20" xfId="0" applyNumberFormat="1" applyFont="1" applyBorder="1" applyAlignment="1">
      <alignment horizontal="right" vertical="center"/>
    </xf>
    <xf numFmtId="172" fontId="313" fillId="0" borderId="79" xfId="0" applyNumberFormat="1" applyFont="1" applyBorder="1" applyAlignment="1">
      <alignment horizontal="right" vertical="center"/>
    </xf>
    <xf numFmtId="172" fontId="313" fillId="0" borderId="20" xfId="0" applyNumberFormat="1" applyFont="1" applyBorder="1" applyAlignment="1">
      <alignment horizontal="right" vertical="center"/>
    </xf>
    <xf numFmtId="172" fontId="313" fillId="0" borderId="52" xfId="0" applyNumberFormat="1" applyFont="1" applyBorder="1" applyAlignment="1">
      <alignment horizontal="right" vertical="center"/>
    </xf>
    <xf numFmtId="172" fontId="317" fillId="0" borderId="0" xfId="0" applyNumberFormat="1" applyFont="1" applyAlignment="1">
      <alignment horizontal="right"/>
    </xf>
    <xf numFmtId="0" fontId="281" fillId="0" borderId="1" xfId="2221" applyFont="1" applyBorder="1" applyAlignment="1">
      <alignment vertical="center"/>
    </xf>
    <xf numFmtId="0" fontId="281" fillId="0" borderId="1" xfId="2221" applyFont="1" applyBorder="1" applyAlignment="1">
      <alignment horizontal="center" vertical="center"/>
    </xf>
    <xf numFmtId="173" fontId="281" fillId="0" borderId="1" xfId="2221" applyNumberFormat="1" applyFont="1" applyBorder="1" applyAlignment="1">
      <alignment vertical="center"/>
    </xf>
    <xf numFmtId="0" fontId="17" fillId="0" borderId="1" xfId="0" applyFont="1" applyBorder="1" applyAlignment="1">
      <alignment vertical="center"/>
    </xf>
    <xf numFmtId="0" fontId="17" fillId="0" borderId="1" xfId="0" applyFont="1" applyBorder="1" applyAlignment="1">
      <alignment horizontal="center" vertical="center"/>
    </xf>
    <xf numFmtId="172" fontId="17" fillId="0" borderId="1" xfId="0" applyNumberFormat="1" applyFont="1" applyBorder="1" applyAlignment="1">
      <alignment horizontal="right" vertical="center"/>
    </xf>
    <xf numFmtId="173" fontId="17" fillId="0" borderId="1" xfId="0" applyNumberFormat="1" applyFont="1" applyBorder="1" applyAlignment="1">
      <alignment vertical="center"/>
    </xf>
    <xf numFmtId="0" fontId="17" fillId="0" borderId="0" xfId="0" applyFont="1" applyAlignment="1">
      <alignment vertical="center"/>
    </xf>
    <xf numFmtId="175" fontId="17" fillId="0" borderId="0" xfId="1899" applyNumberFormat="1" applyFont="1" applyAlignment="1">
      <alignment vertical="center"/>
    </xf>
    <xf numFmtId="172" fontId="313" fillId="89" borderId="1" xfId="0" applyNumberFormat="1" applyFont="1" applyFill="1" applyBorder="1" applyAlignment="1">
      <alignment horizontal="right" vertical="center"/>
    </xf>
    <xf numFmtId="172" fontId="313" fillId="89" borderId="20" xfId="0" applyNumberFormat="1" applyFont="1" applyFill="1" applyBorder="1" applyAlignment="1">
      <alignment horizontal="right" vertical="center"/>
    </xf>
    <xf numFmtId="3" fontId="281" fillId="0" borderId="55" xfId="0" applyNumberFormat="1" applyFont="1" applyBorder="1" applyAlignment="1">
      <alignment vertical="center"/>
    </xf>
    <xf numFmtId="0" fontId="17" fillId="0" borderId="1" xfId="0" applyFont="1" applyBorder="1" applyAlignment="1">
      <alignment vertical="center" wrapText="1"/>
    </xf>
    <xf numFmtId="0" fontId="318" fillId="0" borderId="54" xfId="0" applyFont="1" applyBorder="1" applyAlignment="1">
      <alignment horizontal="center" vertical="center"/>
    </xf>
    <xf numFmtId="0" fontId="319" fillId="0" borderId="49" xfId="0" applyFont="1" applyBorder="1" applyAlignment="1">
      <alignment horizontal="center" vertical="center"/>
    </xf>
    <xf numFmtId="0" fontId="319" fillId="0" borderId="78" xfId="0" applyFont="1" applyBorder="1" applyAlignment="1">
      <alignment horizontal="center" vertical="center"/>
    </xf>
    <xf numFmtId="0" fontId="319" fillId="0" borderId="54" xfId="0" applyFont="1" applyBorder="1" applyAlignment="1">
      <alignment horizontal="center" vertical="center"/>
    </xf>
    <xf numFmtId="0" fontId="311" fillId="0" borderId="20" xfId="0" applyFont="1" applyBorder="1" applyAlignment="1">
      <alignment vertical="center"/>
    </xf>
    <xf numFmtId="172" fontId="313" fillId="88" borderId="1" xfId="0" applyNumberFormat="1" applyFont="1" applyFill="1" applyBorder="1" applyAlignment="1">
      <alignment horizontal="right" vertical="center"/>
    </xf>
    <xf numFmtId="172" fontId="313" fillId="88" borderId="79" xfId="0" applyNumberFormat="1" applyFont="1" applyFill="1" applyBorder="1" applyAlignment="1">
      <alignment horizontal="right" vertical="center"/>
    </xf>
    <xf numFmtId="175" fontId="308" fillId="0" borderId="0" xfId="1876" applyNumberFormat="1" applyFont="1"/>
    <xf numFmtId="0" fontId="284" fillId="0" borderId="1" xfId="2824" applyFont="1" applyBorder="1" applyAlignment="1" applyProtection="1">
      <alignment vertical="center"/>
      <protection hidden="1"/>
    </xf>
    <xf numFmtId="172" fontId="281" fillId="0" borderId="1" xfId="0" applyNumberFormat="1" applyFont="1" applyBorder="1" applyAlignment="1">
      <alignment horizontal="right" vertical="center"/>
    </xf>
    <xf numFmtId="3" fontId="284" fillId="0" borderId="0" xfId="2824" applyNumberFormat="1" applyFont="1" applyAlignment="1" applyProtection="1">
      <alignment horizontal="centerContinuous" vertical="center"/>
      <protection locked="0"/>
    </xf>
    <xf numFmtId="0" fontId="284" fillId="0" borderId="0" xfId="2824" applyFont="1"/>
    <xf numFmtId="0" fontId="284" fillId="0" borderId="0" xfId="2824" applyFont="1" applyAlignment="1" applyProtection="1">
      <alignment horizontal="center"/>
      <protection locked="0"/>
    </xf>
    <xf numFmtId="330" fontId="323" fillId="0" borderId="0" xfId="0" applyNumberFormat="1" applyFont="1" applyAlignment="1" applyProtection="1">
      <alignment horizontal="center"/>
      <protection locked="0"/>
    </xf>
    <xf numFmtId="0" fontId="324" fillId="59" borderId="0" xfId="2824" applyFont="1" applyFill="1" applyAlignment="1" applyProtection="1">
      <alignment horizontal="centerContinuous"/>
      <protection locked="0"/>
    </xf>
    <xf numFmtId="0" fontId="322" fillId="0" borderId="0" xfId="2824" applyFont="1" applyAlignment="1" applyProtection="1">
      <alignment horizontal="centerContinuous"/>
      <protection locked="0"/>
    </xf>
    <xf numFmtId="3" fontId="284" fillId="0" borderId="0" xfId="2824" applyNumberFormat="1" applyFont="1" applyProtection="1">
      <protection locked="0"/>
    </xf>
    <xf numFmtId="330" fontId="325" fillId="0" borderId="0" xfId="0" applyNumberFormat="1" applyFont="1" applyAlignment="1" applyProtection="1">
      <alignment horizontal="center"/>
      <protection locked="0"/>
    </xf>
    <xf numFmtId="330" fontId="284" fillId="0" borderId="0" xfId="0" applyNumberFormat="1" applyFont="1" applyAlignment="1" applyProtection="1">
      <alignment horizontal="center"/>
      <protection locked="0"/>
    </xf>
    <xf numFmtId="0" fontId="21" fillId="0" borderId="0" xfId="0" applyFont="1" applyProtection="1">
      <protection locked="0"/>
    </xf>
    <xf numFmtId="175" fontId="244" fillId="0" borderId="55" xfId="1876" applyNumberFormat="1" applyFont="1" applyBorder="1" applyAlignment="1">
      <alignment vertical="center"/>
    </xf>
    <xf numFmtId="172" fontId="0" fillId="0" borderId="79" xfId="0" applyNumberFormat="1" applyBorder="1" applyAlignment="1">
      <alignment horizontal="right" vertical="center" wrapText="1"/>
    </xf>
    <xf numFmtId="175" fontId="243" fillId="0" borderId="79" xfId="1899" applyNumberFormat="1" applyFont="1" applyBorder="1" applyAlignment="1">
      <alignment vertical="center" wrapText="1"/>
    </xf>
    <xf numFmtId="0" fontId="280" fillId="0" borderId="51" xfId="0" applyFont="1" applyBorder="1" applyAlignment="1">
      <alignment horizontal="center" vertical="center"/>
    </xf>
    <xf numFmtId="49" fontId="6" fillId="88" borderId="0" xfId="2204" applyNumberFormat="1" applyFill="1" applyAlignment="1">
      <alignment vertical="center"/>
    </xf>
    <xf numFmtId="0" fontId="6" fillId="88" borderId="0" xfId="2204" applyFill="1" applyAlignment="1">
      <alignment vertical="center"/>
    </xf>
    <xf numFmtId="0" fontId="6" fillId="88" borderId="0" xfId="2204" applyFill="1"/>
    <xf numFmtId="175" fontId="6" fillId="88" borderId="0" xfId="1899" applyNumberFormat="1" applyFont="1" applyFill="1" applyAlignment="1">
      <alignment vertical="center"/>
    </xf>
    <xf numFmtId="0" fontId="224" fillId="88" borderId="56" xfId="2204" applyFont="1" applyFill="1" applyBorder="1" applyAlignment="1">
      <alignment horizontal="center" vertical="center" shrinkToFit="1"/>
    </xf>
    <xf numFmtId="0" fontId="224" fillId="88" borderId="57" xfId="2204" applyFont="1" applyFill="1" applyBorder="1" applyAlignment="1">
      <alignment horizontal="center" vertical="center" wrapText="1"/>
    </xf>
    <xf numFmtId="0" fontId="224" fillId="88" borderId="58" xfId="2204" applyFont="1" applyFill="1" applyBorder="1" applyAlignment="1">
      <alignment horizontal="center" vertical="center" wrapText="1"/>
    </xf>
    <xf numFmtId="0" fontId="225" fillId="88" borderId="0" xfId="2204" applyFont="1" applyFill="1" applyAlignment="1">
      <alignment vertical="center" wrapText="1"/>
    </xf>
    <xf numFmtId="0" fontId="226" fillId="88" borderId="59" xfId="2204" applyFont="1" applyFill="1" applyBorder="1" applyAlignment="1">
      <alignment horizontal="center" vertical="center" shrinkToFit="1"/>
    </xf>
    <xf numFmtId="0" fontId="226" fillId="88" borderId="60" xfId="2204" applyFont="1" applyFill="1" applyBorder="1" applyAlignment="1">
      <alignment horizontal="left" vertical="center"/>
    </xf>
    <xf numFmtId="0" fontId="226" fillId="88" borderId="29" xfId="2204" applyFont="1" applyFill="1" applyBorder="1" applyAlignment="1">
      <alignment horizontal="center" vertical="center" wrapText="1"/>
    </xf>
    <xf numFmtId="0" fontId="18" fillId="88" borderId="29" xfId="2204" applyFont="1" applyFill="1" applyBorder="1" applyAlignment="1">
      <alignment horizontal="center" vertical="center"/>
    </xf>
    <xf numFmtId="175" fontId="226" fillId="88" borderId="29" xfId="2204" applyNumberFormat="1" applyFont="1" applyFill="1" applyBorder="1" applyAlignment="1">
      <alignment horizontal="center" vertical="center" wrapText="1"/>
    </xf>
    <xf numFmtId="175" fontId="18" fillId="88" borderId="61" xfId="1899" applyNumberFormat="1" applyFont="1" applyFill="1" applyBorder="1" applyAlignment="1">
      <alignment vertical="center"/>
    </xf>
    <xf numFmtId="171" fontId="227" fillId="88" borderId="0" xfId="2204" applyNumberFormat="1" applyFont="1" applyFill="1" applyAlignment="1">
      <alignment vertical="center" wrapText="1"/>
    </xf>
    <xf numFmtId="0" fontId="16" fillId="88" borderId="0" xfId="2204" applyFont="1" applyFill="1"/>
    <xf numFmtId="0" fontId="18" fillId="88" borderId="62" xfId="2204" applyFont="1" applyFill="1" applyBorder="1" applyAlignment="1">
      <alignment horizontal="right" vertical="center"/>
    </xf>
    <xf numFmtId="0" fontId="18" fillId="88" borderId="63" xfId="2204" applyFont="1" applyFill="1" applyBorder="1" applyAlignment="1">
      <alignment horizontal="left" vertical="center"/>
    </xf>
    <xf numFmtId="0" fontId="18" fillId="88" borderId="1" xfId="2204" applyFont="1" applyFill="1" applyBorder="1" applyAlignment="1">
      <alignment horizontal="center" vertical="center"/>
    </xf>
    <xf numFmtId="0" fontId="18" fillId="88" borderId="1" xfId="2204" applyFont="1" applyFill="1" applyBorder="1" applyAlignment="1">
      <alignment horizontal="center" vertical="center" shrinkToFit="1"/>
    </xf>
    <xf numFmtId="175" fontId="18" fillId="88" borderId="1" xfId="1899" applyNumberFormat="1" applyFont="1" applyFill="1" applyBorder="1" applyAlignment="1">
      <alignment vertical="center"/>
    </xf>
    <xf numFmtId="175" fontId="18" fillId="88" borderId="1" xfId="1899" applyNumberFormat="1" applyFont="1" applyFill="1" applyBorder="1" applyAlignment="1">
      <alignment horizontal="center" vertical="center"/>
    </xf>
    <xf numFmtId="175" fontId="18" fillId="88" borderId="64" xfId="1899" applyNumberFormat="1" applyFont="1" applyFill="1" applyBorder="1" applyAlignment="1">
      <alignment vertical="center"/>
    </xf>
    <xf numFmtId="3" fontId="16" fillId="88" borderId="0" xfId="2204" applyNumberFormat="1" applyFont="1" applyFill="1" applyAlignment="1">
      <alignment vertical="center"/>
    </xf>
    <xf numFmtId="0" fontId="18" fillId="88" borderId="65" xfId="2204" applyFont="1" applyFill="1" applyBorder="1" applyAlignment="1">
      <alignment horizontal="right" vertical="center"/>
    </xf>
    <xf numFmtId="0" fontId="16" fillId="88" borderId="0" xfId="2204" applyFont="1" applyFill="1" applyAlignment="1">
      <alignment vertical="center"/>
    </xf>
    <xf numFmtId="175" fontId="16" fillId="88" borderId="0" xfId="1899" applyNumberFormat="1" applyFont="1" applyFill="1" applyAlignment="1">
      <alignment vertical="center"/>
    </xf>
    <xf numFmtId="175" fontId="16" fillId="88" borderId="0" xfId="2204" applyNumberFormat="1" applyFont="1" applyFill="1" applyAlignment="1">
      <alignment vertical="center"/>
    </xf>
    <xf numFmtId="0" fontId="18" fillId="88" borderId="62" xfId="2204" applyFont="1" applyFill="1" applyBorder="1" applyAlignment="1">
      <alignment horizontal="center" vertical="center"/>
    </xf>
    <xf numFmtId="0" fontId="226" fillId="88" borderId="63" xfId="2204" applyFont="1" applyFill="1" applyBorder="1" applyAlignment="1">
      <alignment horizontal="left" vertical="center"/>
    </xf>
    <xf numFmtId="175" fontId="18" fillId="88" borderId="1" xfId="1899" applyNumberFormat="1" applyFont="1" applyFill="1" applyBorder="1" applyAlignment="1">
      <alignment vertical="center" shrinkToFit="1"/>
    </xf>
    <xf numFmtId="171" fontId="16" fillId="88" borderId="0" xfId="2204" applyNumberFormat="1" applyFont="1" applyFill="1" applyAlignment="1">
      <alignment vertical="center"/>
    </xf>
    <xf numFmtId="0" fontId="18" fillId="88" borderId="63" xfId="2204" applyFont="1" applyFill="1" applyBorder="1" applyAlignment="1">
      <alignment vertical="center"/>
    </xf>
    <xf numFmtId="302" fontId="18" fillId="88" borderId="1" xfId="2204" applyNumberFormat="1" applyFont="1" applyFill="1" applyBorder="1" applyAlignment="1">
      <alignment horizontal="center" vertical="center"/>
    </xf>
    <xf numFmtId="171" fontId="16" fillId="88" borderId="0" xfId="1899" applyFont="1" applyFill="1" applyAlignment="1">
      <alignment vertical="center"/>
    </xf>
    <xf numFmtId="0" fontId="18" fillId="88" borderId="63" xfId="2204" applyFont="1" applyFill="1" applyBorder="1" applyAlignment="1">
      <alignment vertical="center" wrapText="1"/>
    </xf>
    <xf numFmtId="0" fontId="18" fillId="88" borderId="63" xfId="2204" applyFont="1" applyFill="1" applyBorder="1" applyAlignment="1">
      <alignment vertical="center" shrinkToFit="1"/>
    </xf>
    <xf numFmtId="303" fontId="18" fillId="88" borderId="1" xfId="2204" applyNumberFormat="1" applyFont="1" applyFill="1" applyBorder="1" applyAlignment="1">
      <alignment horizontal="center" vertical="center"/>
    </xf>
    <xf numFmtId="0" fontId="226" fillId="88" borderId="63" xfId="2204" applyFont="1" applyFill="1" applyBorder="1" applyAlignment="1">
      <alignment vertical="center" shrinkToFit="1"/>
    </xf>
    <xf numFmtId="304" fontId="18" fillId="88" borderId="1" xfId="2204" applyNumberFormat="1" applyFont="1" applyFill="1" applyBorder="1" applyAlignment="1">
      <alignment horizontal="center" vertical="center"/>
    </xf>
    <xf numFmtId="0" fontId="226" fillId="88" borderId="63" xfId="2204" applyFont="1" applyFill="1" applyBorder="1" applyAlignment="1">
      <alignment horizontal="left" vertical="center" shrinkToFit="1"/>
    </xf>
    <xf numFmtId="0" fontId="226" fillId="88" borderId="62" xfId="2204" applyFont="1" applyFill="1" applyBorder="1" applyAlignment="1">
      <alignment horizontal="center" vertical="center"/>
    </xf>
    <xf numFmtId="0" fontId="226" fillId="88" borderId="63" xfId="2204" applyFont="1" applyFill="1" applyBorder="1" applyAlignment="1">
      <alignment vertical="center"/>
    </xf>
    <xf numFmtId="305" fontId="18" fillId="88" borderId="1" xfId="2204" applyNumberFormat="1" applyFont="1" applyFill="1" applyBorder="1" applyAlignment="1">
      <alignment horizontal="center" vertical="center"/>
    </xf>
    <xf numFmtId="175" fontId="226" fillId="88" borderId="1" xfId="1899" applyNumberFormat="1" applyFont="1" applyFill="1" applyBorder="1" applyAlignment="1">
      <alignment vertical="center"/>
    </xf>
    <xf numFmtId="0" fontId="227" fillId="88" borderId="0" xfId="2204" applyFont="1" applyFill="1" applyAlignment="1">
      <alignment vertical="center"/>
    </xf>
    <xf numFmtId="0" fontId="229" fillId="88" borderId="62" xfId="2204" applyFont="1" applyFill="1" applyBorder="1" applyAlignment="1">
      <alignment horizontal="center" vertical="center"/>
    </xf>
    <xf numFmtId="0" fontId="224" fillId="88" borderId="63" xfId="2204" applyFont="1" applyFill="1" applyBorder="1" applyAlignment="1">
      <alignment horizontal="left" vertical="center" shrinkToFit="1"/>
    </xf>
    <xf numFmtId="0" fontId="229" fillId="88" borderId="1" xfId="2204" applyFont="1" applyFill="1" applyBorder="1" applyAlignment="1">
      <alignment horizontal="center" vertical="center"/>
    </xf>
    <xf numFmtId="175" fontId="229" fillId="88" borderId="1" xfId="1899" applyNumberFormat="1" applyFont="1" applyFill="1" applyBorder="1" applyAlignment="1">
      <alignment vertical="center"/>
    </xf>
    <xf numFmtId="175" fontId="229" fillId="88" borderId="64" xfId="1899" applyNumberFormat="1" applyFont="1" applyFill="1" applyBorder="1" applyAlignment="1">
      <alignment vertical="center"/>
    </xf>
    <xf numFmtId="306" fontId="13" fillId="88" borderId="0" xfId="2204" applyNumberFormat="1" applyFont="1" applyFill="1" applyAlignment="1">
      <alignment vertical="center"/>
    </xf>
    <xf numFmtId="180" fontId="13" fillId="88" borderId="0" xfId="2204" applyNumberFormat="1" applyFont="1" applyFill="1" applyAlignment="1">
      <alignment vertical="center"/>
    </xf>
    <xf numFmtId="0" fontId="13" fillId="88" borderId="0" xfId="2204" applyFont="1" applyFill="1" applyAlignment="1">
      <alignment vertical="center"/>
    </xf>
    <xf numFmtId="0" fontId="13" fillId="88" borderId="0" xfId="2204" applyFont="1" applyFill="1"/>
    <xf numFmtId="0" fontId="224" fillId="88" borderId="63" xfId="2204" applyFont="1" applyFill="1" applyBorder="1" applyAlignment="1">
      <alignment horizontal="left" vertical="center"/>
    </xf>
    <xf numFmtId="0" fontId="10" fillId="88" borderId="0" xfId="2204" applyFont="1" applyFill="1" applyAlignment="1">
      <alignment vertical="center"/>
    </xf>
    <xf numFmtId="0" fontId="14" fillId="88" borderId="0" xfId="2204" applyFont="1" applyFill="1"/>
    <xf numFmtId="307" fontId="18" fillId="88" borderId="1" xfId="2204" applyNumberFormat="1" applyFont="1" applyFill="1" applyBorder="1" applyAlignment="1">
      <alignment horizontal="center" vertical="center"/>
    </xf>
    <xf numFmtId="0" fontId="230" fillId="88" borderId="0" xfId="2204" applyFont="1" applyFill="1" applyAlignment="1">
      <alignment vertical="center"/>
    </xf>
    <xf numFmtId="175" fontId="230" fillId="88" borderId="0" xfId="2204" applyNumberFormat="1" applyFont="1" applyFill="1" applyAlignment="1">
      <alignment vertical="center"/>
    </xf>
    <xf numFmtId="0" fontId="18" fillId="88" borderId="43" xfId="2204" applyFont="1" applyFill="1" applyBorder="1" applyAlignment="1">
      <alignment horizontal="center" vertical="center"/>
    </xf>
    <xf numFmtId="0" fontId="18" fillId="88" borderId="66" xfId="2204" applyFont="1" applyFill="1" applyBorder="1" applyAlignment="1">
      <alignment vertical="center"/>
    </xf>
    <xf numFmtId="0" fontId="18" fillId="88" borderId="67" xfId="2204" applyFont="1" applyFill="1" applyBorder="1" applyAlignment="1">
      <alignment horizontal="center" vertical="center"/>
    </xf>
    <xf numFmtId="175" fontId="18" fillId="88" borderId="67" xfId="1899" applyNumberFormat="1" applyFont="1" applyFill="1" applyBorder="1" applyAlignment="1">
      <alignment vertical="center"/>
    </xf>
    <xf numFmtId="175" fontId="229" fillId="88" borderId="68" xfId="1899" applyNumberFormat="1" applyFont="1" applyFill="1" applyBorder="1" applyAlignment="1">
      <alignment vertical="center"/>
    </xf>
    <xf numFmtId="308" fontId="10" fillId="88" borderId="0" xfId="1899" applyNumberFormat="1" applyFont="1" applyFill="1" applyAlignment="1">
      <alignment vertical="center"/>
    </xf>
    <xf numFmtId="0" fontId="229" fillId="88" borderId="69" xfId="2204" applyFont="1" applyFill="1" applyBorder="1" applyAlignment="1">
      <alignment horizontal="center" vertical="center"/>
    </xf>
    <xf numFmtId="0" fontId="224" fillId="88" borderId="70" xfId="2204" applyFont="1" applyFill="1" applyBorder="1" applyAlignment="1">
      <alignment horizontal="left" vertical="center"/>
    </xf>
    <xf numFmtId="0" fontId="229" fillId="88" borderId="20" xfId="2204" applyFont="1" applyFill="1" applyBorder="1" applyAlignment="1">
      <alignment horizontal="center" vertical="center"/>
    </xf>
    <xf numFmtId="175" fontId="229" fillId="88" borderId="20" xfId="1899" applyNumberFormat="1" applyFont="1" applyFill="1" applyBorder="1" applyAlignment="1">
      <alignment vertical="center"/>
    </xf>
    <xf numFmtId="175" fontId="229" fillId="88" borderId="20" xfId="1899" applyNumberFormat="1" applyFont="1" applyFill="1" applyBorder="1" applyAlignment="1">
      <alignment horizontal="center" vertical="center"/>
    </xf>
    <xf numFmtId="175" fontId="229" fillId="88" borderId="71" xfId="1899" applyNumberFormat="1" applyFont="1" applyFill="1" applyBorder="1" applyAlignment="1">
      <alignment vertical="center"/>
    </xf>
    <xf numFmtId="180" fontId="10" fillId="88" borderId="0" xfId="2204" applyNumberFormat="1" applyFont="1" applyFill="1" applyAlignment="1">
      <alignment vertical="center"/>
    </xf>
    <xf numFmtId="0" fontId="18" fillId="88" borderId="1" xfId="2204" applyFont="1" applyFill="1" applyBorder="1" applyAlignment="1">
      <alignment horizontal="left" vertical="center"/>
    </xf>
    <xf numFmtId="0" fontId="226" fillId="88" borderId="1" xfId="2204" applyFont="1" applyFill="1" applyBorder="1" applyAlignment="1">
      <alignment horizontal="center" vertical="center"/>
    </xf>
    <xf numFmtId="175" fontId="231" fillId="88" borderId="64" xfId="1899" applyNumberFormat="1" applyFont="1" applyFill="1" applyBorder="1" applyAlignment="1">
      <alignment vertical="center"/>
    </xf>
    <xf numFmtId="0" fontId="226" fillId="88" borderId="43" xfId="2204" applyFont="1" applyFill="1" applyBorder="1" applyAlignment="1">
      <alignment horizontal="center" vertical="center"/>
    </xf>
    <xf numFmtId="0" fontId="224" fillId="88" borderId="67" xfId="2204" applyFont="1" applyFill="1" applyBorder="1" applyAlignment="1">
      <alignment horizontal="center" vertical="center"/>
    </xf>
    <xf numFmtId="0" fontId="226" fillId="88" borderId="72" xfId="2204" applyFont="1" applyFill="1" applyBorder="1" applyAlignment="1">
      <alignment horizontal="center" vertical="center"/>
    </xf>
    <xf numFmtId="175" fontId="226" fillId="88" borderId="67" xfId="1899" applyNumberFormat="1" applyFont="1" applyFill="1" applyBorder="1" applyAlignment="1">
      <alignment vertical="center"/>
    </xf>
    <xf numFmtId="175" fontId="226" fillId="88" borderId="67" xfId="1899" applyNumberFormat="1" applyFont="1" applyFill="1" applyBorder="1" applyAlignment="1">
      <alignment horizontal="center" vertical="center"/>
    </xf>
    <xf numFmtId="175" fontId="232" fillId="88" borderId="68" xfId="1899" applyNumberFormat="1" applyFont="1" applyFill="1" applyBorder="1" applyAlignment="1">
      <alignment horizontal="center" vertical="center"/>
    </xf>
    <xf numFmtId="175" fontId="61" fillId="88" borderId="0" xfId="1899" applyNumberFormat="1" applyFont="1" applyFill="1" applyAlignment="1">
      <alignment vertical="center"/>
    </xf>
    <xf numFmtId="0" fontId="61" fillId="88" borderId="0" xfId="2204" applyFont="1" applyFill="1" applyAlignment="1">
      <alignment vertical="center"/>
    </xf>
    <xf numFmtId="0" fontId="18" fillId="88" borderId="0" xfId="2204" applyFont="1" applyFill="1" applyAlignment="1">
      <alignment horizontal="center" vertical="center"/>
    </xf>
    <xf numFmtId="0" fontId="18" fillId="88" borderId="0" xfId="2204" applyFont="1" applyFill="1" applyAlignment="1">
      <alignment vertical="center"/>
    </xf>
    <xf numFmtId="49" fontId="18" fillId="88" borderId="0" xfId="2204" applyNumberFormat="1" applyFont="1" applyFill="1" applyAlignment="1">
      <alignment vertical="center"/>
    </xf>
    <xf numFmtId="0" fontId="6" fillId="88" borderId="0" xfId="2204" applyFill="1" applyAlignment="1">
      <alignment horizontal="center" vertical="center"/>
    </xf>
    <xf numFmtId="49" fontId="17" fillId="88" borderId="0" xfId="2204" applyNumberFormat="1" applyFont="1" applyFill="1" applyAlignment="1">
      <alignment vertical="center"/>
    </xf>
    <xf numFmtId="0" fontId="320" fillId="88" borderId="0" xfId="2204" applyFont="1" applyFill="1" applyAlignment="1">
      <alignment horizontal="center" vertical="center"/>
    </xf>
    <xf numFmtId="309" fontId="14" fillId="88" borderId="0" xfId="2204" applyNumberFormat="1" applyFont="1" applyFill="1" applyAlignment="1">
      <alignment vertical="center"/>
    </xf>
    <xf numFmtId="180" fontId="14" fillId="88" borderId="0" xfId="1899" applyNumberFormat="1" applyFont="1" applyFill="1" applyAlignment="1">
      <alignment vertical="center"/>
    </xf>
    <xf numFmtId="0" fontId="238" fillId="88" borderId="0" xfId="0" applyFont="1" applyFill="1" applyAlignment="1" applyProtection="1">
      <alignment horizontal="center" vertical="center"/>
      <protection locked="0"/>
    </xf>
    <xf numFmtId="0" fontId="17" fillId="88" borderId="0" xfId="2204" applyFont="1" applyFill="1" applyAlignment="1">
      <alignment horizontal="centerContinuous" vertical="center"/>
    </xf>
    <xf numFmtId="0" fontId="20" fillId="88" borderId="0" xfId="2204" applyFont="1" applyFill="1" applyAlignment="1">
      <alignment horizontal="centerContinuous" vertical="center"/>
    </xf>
    <xf numFmtId="0" fontId="284" fillId="88" borderId="0" xfId="2204" applyFont="1" applyFill="1" applyAlignment="1">
      <alignment vertical="center"/>
    </xf>
    <xf numFmtId="0" fontId="284" fillId="88" borderId="0" xfId="2204" applyFont="1" applyFill="1"/>
    <xf numFmtId="0" fontId="6" fillId="88" borderId="0" xfId="2204" applyFill="1" applyAlignment="1">
      <alignment horizontal="centerContinuous" vertical="center"/>
    </xf>
    <xf numFmtId="310" fontId="6" fillId="88" borderId="0" xfId="2204" applyNumberFormat="1" applyFill="1" applyAlignment="1">
      <alignment vertical="center"/>
    </xf>
    <xf numFmtId="0" fontId="321" fillId="88" borderId="0" xfId="2204" applyFont="1" applyFill="1" applyAlignment="1">
      <alignment horizontal="center" vertical="center"/>
    </xf>
    <xf numFmtId="0" fontId="17" fillId="88" borderId="0" xfId="2204" applyFont="1" applyFill="1" applyAlignment="1">
      <alignment vertical="center"/>
    </xf>
    <xf numFmtId="0" fontId="321" fillId="88" borderId="0" xfId="2204" applyFont="1" applyFill="1" applyAlignment="1">
      <alignment vertical="center"/>
    </xf>
    <xf numFmtId="0" fontId="284" fillId="88" borderId="0" xfId="2204" applyFont="1" applyFill="1" applyAlignment="1">
      <alignment horizontal="center" vertical="center"/>
    </xf>
    <xf numFmtId="175" fontId="320" fillId="88" borderId="0" xfId="1899" applyNumberFormat="1" applyFont="1" applyFill="1" applyAlignment="1">
      <alignment vertical="center"/>
    </xf>
    <xf numFmtId="0" fontId="9" fillId="88" borderId="0" xfId="0" applyFont="1" applyFill="1" applyProtection="1">
      <protection locked="0"/>
    </xf>
    <xf numFmtId="0" fontId="284" fillId="88" borderId="0" xfId="2204" applyFont="1" applyFill="1" applyAlignment="1">
      <alignment horizontal="center"/>
    </xf>
    <xf numFmtId="0" fontId="242" fillId="88" borderId="0" xfId="0" applyFont="1" applyFill="1" applyProtection="1">
      <protection locked="0"/>
    </xf>
    <xf numFmtId="176" fontId="6" fillId="88" borderId="0" xfId="2204" applyNumberFormat="1" applyFill="1" applyAlignment="1">
      <alignment vertical="center"/>
    </xf>
    <xf numFmtId="0" fontId="6" fillId="88" borderId="0" xfId="2204" applyFill="1" applyAlignment="1">
      <alignment horizontal="center"/>
    </xf>
    <xf numFmtId="175" fontId="306" fillId="0" borderId="0" xfId="1876" applyNumberFormat="1" applyFont="1"/>
    <xf numFmtId="0" fontId="224" fillId="73" borderId="2" xfId="2204" applyFont="1" applyFill="1" applyBorder="1" applyAlignment="1">
      <alignment horizontal="center" vertical="center" wrapText="1"/>
    </xf>
    <xf numFmtId="300" fontId="13" fillId="73" borderId="2" xfId="2204" applyNumberFormat="1" applyFont="1" applyFill="1" applyBorder="1" applyAlignment="1">
      <alignment vertical="center" wrapText="1"/>
    </xf>
    <xf numFmtId="301" fontId="225" fillId="85" borderId="2" xfId="2204" applyNumberFormat="1" applyFont="1" applyFill="1" applyBorder="1" applyAlignment="1">
      <alignment horizontal="center" vertical="center" wrapText="1"/>
    </xf>
    <xf numFmtId="177" fontId="227" fillId="73" borderId="2" xfId="1899" applyNumberFormat="1" applyFont="1" applyFill="1" applyBorder="1" applyAlignment="1">
      <alignment horizontal="center" vertical="center" wrapText="1"/>
    </xf>
    <xf numFmtId="178" fontId="227" fillId="73" borderId="2" xfId="1899" applyNumberFormat="1" applyFont="1" applyFill="1" applyBorder="1" applyAlignment="1">
      <alignment horizontal="center" vertical="center" wrapText="1"/>
    </xf>
    <xf numFmtId="2" fontId="227" fillId="59" borderId="2" xfId="2204" applyNumberFormat="1" applyFont="1" applyFill="1" applyBorder="1" applyAlignment="1">
      <alignment horizontal="center" vertical="center" wrapText="1"/>
    </xf>
    <xf numFmtId="0" fontId="3" fillId="89" borderId="1" xfId="2824" applyFont="1" applyFill="1" applyBorder="1" applyProtection="1">
      <protection hidden="1"/>
    </xf>
    <xf numFmtId="0" fontId="3" fillId="89" borderId="1" xfId="2824" applyFont="1" applyFill="1" applyBorder="1" applyAlignment="1" applyProtection="1">
      <alignment horizontal="center"/>
      <protection hidden="1"/>
    </xf>
    <xf numFmtId="176" fontId="3" fillId="89" borderId="1" xfId="2824" applyNumberFormat="1" applyFont="1" applyFill="1" applyBorder="1" applyAlignment="1" applyProtection="1">
      <alignment horizontal="center"/>
      <protection hidden="1"/>
    </xf>
    <xf numFmtId="0" fontId="3" fillId="89" borderId="50" xfId="2824" applyFont="1" applyFill="1" applyBorder="1" applyAlignment="1" applyProtection="1">
      <alignment horizontal="center"/>
      <protection hidden="1"/>
    </xf>
    <xf numFmtId="0" fontId="259" fillId="89" borderId="1" xfId="2824" applyFont="1" applyFill="1" applyBorder="1" applyProtection="1">
      <protection hidden="1"/>
    </xf>
    <xf numFmtId="0" fontId="259" fillId="89" borderId="1" xfId="2824" applyFont="1" applyFill="1" applyBorder="1" applyAlignment="1" applyProtection="1">
      <alignment horizontal="center"/>
      <protection hidden="1"/>
    </xf>
    <xf numFmtId="0" fontId="259" fillId="89" borderId="50" xfId="2824" applyFont="1" applyFill="1" applyBorder="1" applyAlignment="1" applyProtection="1">
      <alignment horizontal="center"/>
      <protection hidden="1"/>
    </xf>
    <xf numFmtId="0" fontId="285" fillId="89" borderId="1" xfId="2824" applyFont="1" applyFill="1" applyBorder="1" applyProtection="1">
      <protection hidden="1"/>
    </xf>
    <xf numFmtId="0" fontId="285" fillId="89" borderId="1" xfId="2824" applyFont="1" applyFill="1" applyBorder="1" applyAlignment="1" applyProtection="1">
      <alignment horizontal="center"/>
      <protection hidden="1"/>
    </xf>
    <xf numFmtId="0" fontId="285" fillId="89" borderId="50" xfId="2824" applyFont="1" applyFill="1" applyBorder="1" applyAlignment="1" applyProtection="1">
      <alignment horizontal="center"/>
      <protection hidden="1"/>
    </xf>
    <xf numFmtId="176" fontId="287" fillId="89" borderId="1" xfId="2824" applyNumberFormat="1" applyFont="1" applyFill="1" applyBorder="1" applyProtection="1">
      <protection hidden="1"/>
    </xf>
    <xf numFmtId="178" fontId="287" fillId="89" borderId="1" xfId="1899" applyNumberFormat="1" applyFont="1" applyFill="1" applyBorder="1" applyAlignment="1" applyProtection="1">
      <alignment horizontal="center"/>
      <protection hidden="1"/>
    </xf>
    <xf numFmtId="0" fontId="287" fillId="89" borderId="1" xfId="2824" applyFont="1" applyFill="1" applyBorder="1" applyAlignment="1" applyProtection="1">
      <alignment horizontal="center"/>
      <protection hidden="1"/>
    </xf>
    <xf numFmtId="0" fontId="287" fillId="89" borderId="50" xfId="2824" applyFont="1" applyFill="1" applyBorder="1" applyAlignment="1" applyProtection="1">
      <alignment horizontal="center"/>
      <protection hidden="1"/>
    </xf>
    <xf numFmtId="0" fontId="273" fillId="89" borderId="1" xfId="2824" applyFont="1" applyFill="1" applyBorder="1" applyProtection="1">
      <protection hidden="1"/>
    </xf>
    <xf numFmtId="0" fontId="273" fillId="89" borderId="1" xfId="2824" applyFont="1" applyFill="1" applyBorder="1" applyAlignment="1" applyProtection="1">
      <alignment horizontal="center"/>
      <protection hidden="1"/>
    </xf>
    <xf numFmtId="176" fontId="273" fillId="89" borderId="1" xfId="2824" applyNumberFormat="1" applyFont="1" applyFill="1" applyBorder="1" applyAlignment="1" applyProtection="1">
      <alignment horizontal="center"/>
      <protection hidden="1"/>
    </xf>
    <xf numFmtId="0" fontId="273" fillId="89" borderId="50" xfId="2824" applyFont="1" applyFill="1" applyBorder="1" applyAlignment="1" applyProtection="1">
      <alignment horizontal="center"/>
      <protection hidden="1"/>
    </xf>
    <xf numFmtId="0" fontId="289" fillId="89" borderId="1" xfId="2824" applyFont="1" applyFill="1" applyBorder="1" applyProtection="1">
      <protection hidden="1"/>
    </xf>
    <xf numFmtId="0" fontId="289" fillId="89" borderId="1" xfId="2824" applyFont="1" applyFill="1" applyBorder="1" applyAlignment="1" applyProtection="1">
      <alignment horizontal="center"/>
      <protection hidden="1"/>
    </xf>
    <xf numFmtId="0" fontId="289" fillId="89" borderId="50" xfId="2824" applyFont="1" applyFill="1" applyBorder="1" applyAlignment="1" applyProtection="1">
      <alignment horizontal="center"/>
      <protection hidden="1"/>
    </xf>
    <xf numFmtId="176" fontId="285" fillId="89" borderId="1" xfId="2824" applyNumberFormat="1" applyFont="1" applyFill="1" applyBorder="1" applyAlignment="1" applyProtection="1">
      <alignment horizontal="center"/>
      <protection hidden="1"/>
    </xf>
    <xf numFmtId="0" fontId="295" fillId="89" borderId="1" xfId="2824" applyFont="1" applyFill="1" applyBorder="1" applyAlignment="1" applyProtection="1">
      <alignment horizontal="center"/>
      <protection hidden="1"/>
    </xf>
    <xf numFmtId="176" fontId="295" fillId="89" borderId="1" xfId="2824" applyNumberFormat="1" applyFont="1" applyFill="1" applyBorder="1" applyAlignment="1" applyProtection="1">
      <alignment horizontal="center"/>
      <protection hidden="1"/>
    </xf>
    <xf numFmtId="0" fontId="295" fillId="89" borderId="50" xfId="2824" applyFont="1" applyFill="1" applyBorder="1" applyAlignment="1" applyProtection="1">
      <alignment horizontal="center"/>
      <protection hidden="1"/>
    </xf>
    <xf numFmtId="0" fontId="235" fillId="0" borderId="0" xfId="0" applyFont="1" applyAlignment="1" applyProtection="1">
      <alignment horizontal="center"/>
      <protection locked="0"/>
    </xf>
    <xf numFmtId="0" fontId="21" fillId="0" borderId="70" xfId="2824" applyFont="1" applyBorder="1" applyAlignment="1" applyProtection="1">
      <alignment horizontal="center" vertical="center"/>
      <protection hidden="1"/>
    </xf>
    <xf numFmtId="0" fontId="8" fillId="0" borderId="63" xfId="2824" applyFont="1" applyBorder="1" applyAlignment="1" applyProtection="1">
      <alignment horizontal="center" vertical="center"/>
      <protection locked="0"/>
    </xf>
    <xf numFmtId="0" fontId="6" fillId="0" borderId="109" xfId="2824" applyBorder="1" applyAlignment="1" applyProtection="1">
      <alignment horizontal="center" vertical="center"/>
      <protection locked="0"/>
    </xf>
    <xf numFmtId="0" fontId="6" fillId="0" borderId="63" xfId="2824" applyBorder="1" applyAlignment="1" applyProtection="1">
      <alignment horizontal="center" vertical="center"/>
      <protection hidden="1"/>
    </xf>
    <xf numFmtId="0" fontId="6" fillId="0" borderId="109" xfId="2824" applyBorder="1" applyAlignment="1" applyProtection="1">
      <alignment horizontal="center" vertical="center"/>
      <protection locked="0" hidden="1"/>
    </xf>
    <xf numFmtId="0" fontId="6" fillId="0" borderId="70" xfId="2824" applyBorder="1" applyAlignment="1" applyProtection="1">
      <alignment horizontal="center" vertical="center"/>
      <protection hidden="1"/>
    </xf>
    <xf numFmtId="0" fontId="6" fillId="0" borderId="109" xfId="2824" applyBorder="1" applyAlignment="1" applyProtection="1">
      <alignment horizontal="center" vertical="center"/>
      <protection hidden="1"/>
    </xf>
    <xf numFmtId="317" fontId="21" fillId="0" borderId="24" xfId="2824" applyNumberFormat="1" applyFont="1" applyBorder="1" applyAlignment="1" applyProtection="1">
      <alignment horizontal="center" vertical="center"/>
      <protection locked="0" hidden="1"/>
    </xf>
    <xf numFmtId="0" fontId="6" fillId="0" borderId="110" xfId="2824" applyBorder="1" applyAlignment="1" applyProtection="1">
      <alignment horizontal="center" vertical="center"/>
      <protection locked="0" hidden="1"/>
    </xf>
    <xf numFmtId="318" fontId="21" fillId="0" borderId="70" xfId="2824" applyNumberFormat="1" applyFont="1" applyBorder="1" applyAlignment="1" applyProtection="1">
      <alignment horizontal="center" vertical="center"/>
      <protection hidden="1"/>
    </xf>
    <xf numFmtId="318" fontId="238" fillId="0" borderId="70" xfId="2824" applyNumberFormat="1" applyFont="1" applyBorder="1" applyAlignment="1" applyProtection="1">
      <alignment horizontal="center" vertical="center"/>
      <protection locked="0" hidden="1"/>
    </xf>
    <xf numFmtId="318" fontId="238" fillId="0" borderId="10" xfId="2824" applyNumberFormat="1" applyFont="1" applyBorder="1" applyAlignment="1" applyProtection="1">
      <alignment horizontal="center" vertical="center"/>
      <protection locked="0" hidden="1"/>
    </xf>
    <xf numFmtId="0" fontId="21" fillId="0" borderId="70" xfId="2824" applyFont="1" applyBorder="1" applyAlignment="1" applyProtection="1">
      <alignment horizontal="center" vertical="center"/>
      <protection locked="0" hidden="1"/>
    </xf>
    <xf numFmtId="0" fontId="6" fillId="0" borderId="87" xfId="2824" applyBorder="1" applyAlignment="1" applyProtection="1">
      <alignment horizontal="center" vertical="center"/>
      <protection locked="0"/>
    </xf>
    <xf numFmtId="0" fontId="240" fillId="0" borderId="0" xfId="2824" applyFont="1" applyAlignment="1">
      <alignment horizontal="center" wrapText="1"/>
    </xf>
    <xf numFmtId="3" fontId="240" fillId="0" borderId="0" xfId="2824" applyNumberFormat="1" applyFont="1" applyAlignment="1">
      <alignment horizontal="center" wrapText="1"/>
    </xf>
    <xf numFmtId="0" fontId="21" fillId="0" borderId="85" xfId="2824" applyFont="1" applyBorder="1" applyAlignment="1" applyProtection="1">
      <alignment horizontal="center" vertical="center" wrapText="1"/>
      <protection locked="0"/>
    </xf>
    <xf numFmtId="3" fontId="21" fillId="0" borderId="38" xfId="2824" applyNumberFormat="1" applyFont="1" applyBorder="1" applyAlignment="1" applyProtection="1">
      <alignment horizontal="center" vertical="center" wrapText="1"/>
      <protection locked="0"/>
    </xf>
    <xf numFmtId="0" fontId="238" fillId="0" borderId="0" xfId="0" applyFont="1" applyAlignment="1" applyProtection="1">
      <alignment vertical="center"/>
      <protection locked="0"/>
    </xf>
    <xf numFmtId="0" fontId="235" fillId="0" borderId="0" xfId="0" applyFont="1" applyProtection="1">
      <protection locked="0"/>
    </xf>
    <xf numFmtId="3" fontId="235" fillId="0" borderId="0" xfId="0" applyNumberFormat="1" applyFont="1" applyAlignment="1" applyProtection="1">
      <alignment horizontal="center"/>
      <protection locked="0"/>
    </xf>
    <xf numFmtId="0" fontId="61" fillId="0" borderId="0" xfId="0" applyFont="1" applyAlignment="1" applyProtection="1">
      <alignment horizontal="center"/>
      <protection locked="0"/>
    </xf>
    <xf numFmtId="0" fontId="21"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12" fillId="0" borderId="0" xfId="0" applyFont="1" applyAlignment="1" applyProtection="1">
      <alignment horizontal="center"/>
      <protection locked="0"/>
    </xf>
    <xf numFmtId="0" fontId="9" fillId="0" borderId="0" xfId="0" applyFont="1" applyAlignment="1" applyProtection="1">
      <alignment horizontal="center"/>
      <protection locked="0"/>
    </xf>
    <xf numFmtId="0" fontId="21" fillId="0" borderId="1" xfId="2824" applyFont="1" applyBorder="1" applyAlignment="1" applyProtection="1">
      <alignment horizontal="center" vertical="center" shrinkToFit="1"/>
      <protection hidden="1"/>
    </xf>
    <xf numFmtId="0" fontId="8" fillId="0" borderId="1" xfId="2824" applyFont="1" applyBorder="1" applyAlignment="1" applyProtection="1">
      <alignment horizontal="center" vertical="center" shrinkToFit="1"/>
      <protection locked="0"/>
    </xf>
    <xf numFmtId="0" fontId="6" fillId="0" borderId="79" xfId="2824" applyBorder="1" applyAlignment="1" applyProtection="1">
      <alignment horizontal="center" vertical="center" shrinkToFit="1"/>
      <protection locked="0"/>
    </xf>
    <xf numFmtId="0" fontId="6" fillId="0" borderId="1" xfId="2824" applyBorder="1" applyAlignment="1" applyProtection="1">
      <alignment horizontal="center" vertical="center" shrinkToFit="1"/>
      <protection hidden="1"/>
    </xf>
    <xf numFmtId="0" fontId="6" fillId="0" borderId="79" xfId="2824" applyBorder="1" applyAlignment="1" applyProtection="1">
      <alignment horizontal="center" vertical="center" shrinkToFit="1"/>
      <protection locked="0" hidden="1"/>
    </xf>
    <xf numFmtId="0" fontId="6" fillId="0" borderId="79" xfId="2824" applyBorder="1" applyAlignment="1" applyProtection="1">
      <alignment horizontal="center" vertical="center" shrinkToFit="1"/>
      <protection hidden="1"/>
    </xf>
    <xf numFmtId="317" fontId="21" fillId="0" borderId="2" xfId="2824" applyNumberFormat="1" applyFont="1" applyBorder="1" applyAlignment="1" applyProtection="1">
      <alignment horizontal="center" vertical="center" shrinkToFit="1"/>
      <protection locked="0" hidden="1"/>
    </xf>
    <xf numFmtId="0" fontId="6" fillId="0" borderId="9" xfId="2824" applyBorder="1" applyAlignment="1" applyProtection="1">
      <alignment horizontal="center" vertical="center" shrinkToFit="1"/>
      <protection locked="0" hidden="1"/>
    </xf>
    <xf numFmtId="318" fontId="238" fillId="0" borderId="1" xfId="2824" applyNumberFormat="1" applyFont="1" applyBorder="1" applyAlignment="1" applyProtection="1">
      <alignment horizontal="center" vertical="center" shrinkToFit="1"/>
      <protection locked="0" hidden="1"/>
    </xf>
    <xf numFmtId="318" fontId="238" fillId="0" borderId="32" xfId="2824" applyNumberFormat="1" applyFont="1" applyBorder="1" applyAlignment="1" applyProtection="1">
      <alignment horizontal="center" vertical="center" shrinkToFit="1"/>
      <protection locked="0" hidden="1"/>
    </xf>
    <xf numFmtId="0" fontId="21" fillId="0" borderId="20" xfId="2824" applyFont="1" applyBorder="1" applyAlignment="1" applyProtection="1">
      <alignment horizontal="center" vertical="center" shrinkToFit="1"/>
      <protection locked="0" hidden="1"/>
    </xf>
    <xf numFmtId="0" fontId="6" fillId="0" borderId="52" xfId="2824" applyBorder="1" applyAlignment="1" applyProtection="1">
      <alignment horizontal="center" vertical="center" shrinkToFit="1"/>
      <protection locked="0"/>
    </xf>
    <xf numFmtId="175" fontId="21" fillId="0" borderId="70" xfId="1876" applyNumberFormat="1" applyFont="1" applyBorder="1" applyAlignment="1" applyProtection="1">
      <alignment horizontal="center" vertical="center"/>
      <protection hidden="1"/>
    </xf>
    <xf numFmtId="175" fontId="8" fillId="0" borderId="63" xfId="1876" applyNumberFormat="1" applyFont="1" applyBorder="1" applyAlignment="1" applyProtection="1">
      <alignment horizontal="center" vertical="center"/>
      <protection locked="0"/>
    </xf>
    <xf numFmtId="175" fontId="238" fillId="0" borderId="63" xfId="1876" applyNumberFormat="1" applyFont="1" applyBorder="1" applyAlignment="1" applyProtection="1">
      <alignment horizontal="center" vertical="center"/>
      <protection hidden="1"/>
    </xf>
    <xf numFmtId="0" fontId="17" fillId="89" borderId="0" xfId="0" applyFont="1" applyFill="1" applyAlignment="1">
      <alignment horizontal="center" vertical="center"/>
    </xf>
    <xf numFmtId="0" fontId="327" fillId="0" borderId="0" xfId="0" applyFont="1"/>
    <xf numFmtId="198" fontId="281" fillId="0" borderId="0" xfId="0" applyNumberFormat="1" applyFont="1" applyAlignment="1">
      <alignment vertical="center"/>
    </xf>
    <xf numFmtId="175" fontId="281" fillId="0" borderId="79" xfId="1876" applyNumberFormat="1" applyFont="1" applyBorder="1" applyAlignment="1">
      <alignment vertical="center"/>
    </xf>
    <xf numFmtId="173" fontId="328" fillId="59" borderId="2" xfId="0" applyNumberFormat="1" applyFont="1" applyFill="1" applyBorder="1" applyAlignment="1">
      <alignment horizontal="center" vertical="center" wrapText="1"/>
    </xf>
    <xf numFmtId="175" fontId="329" fillId="59" borderId="20" xfId="1900" applyNumberFormat="1" applyFont="1" applyFill="1" applyBorder="1" applyAlignment="1">
      <alignment vertical="center" wrapText="1"/>
    </xf>
    <xf numFmtId="175" fontId="330" fillId="59" borderId="20" xfId="1900" applyNumberFormat="1" applyFont="1" applyFill="1" applyBorder="1" applyAlignment="1">
      <alignment horizontal="center" vertical="center" wrapText="1"/>
    </xf>
    <xf numFmtId="175" fontId="331" fillId="59" borderId="20" xfId="1900" applyNumberFormat="1" applyFont="1" applyFill="1" applyBorder="1" applyAlignment="1">
      <alignment vertical="center" wrapText="1"/>
    </xf>
    <xf numFmtId="175" fontId="329" fillId="59" borderId="79" xfId="1900" applyNumberFormat="1" applyFont="1" applyFill="1" applyBorder="1" applyAlignment="1">
      <alignment vertical="center" wrapText="1"/>
    </xf>
    <xf numFmtId="175" fontId="330" fillId="59" borderId="79" xfId="1900" applyNumberFormat="1" applyFont="1" applyFill="1" applyBorder="1" applyAlignment="1">
      <alignment horizontal="center" vertical="center" wrapText="1"/>
    </xf>
    <xf numFmtId="175" fontId="331" fillId="59" borderId="79" xfId="1900" applyNumberFormat="1" applyFont="1" applyFill="1" applyBorder="1" applyAlignment="1">
      <alignment vertical="center" wrapText="1"/>
    </xf>
    <xf numFmtId="0" fontId="4" fillId="59" borderId="20" xfId="0" applyFont="1" applyFill="1" applyBorder="1" applyAlignment="1">
      <alignment vertical="center" wrapText="1"/>
    </xf>
    <xf numFmtId="0" fontId="4" fillId="59" borderId="1" xfId="0" applyFont="1" applyFill="1" applyBorder="1" applyAlignment="1">
      <alignment vertical="center" wrapText="1"/>
    </xf>
    <xf numFmtId="0" fontId="268" fillId="59" borderId="0" xfId="0" applyFont="1" applyFill="1" applyAlignment="1">
      <alignment horizontal="center"/>
    </xf>
    <xf numFmtId="0" fontId="244" fillId="59" borderId="0" xfId="0" applyFont="1" applyFill="1" applyAlignment="1">
      <alignment horizontal="center"/>
    </xf>
    <xf numFmtId="175" fontId="238" fillId="0" borderId="1" xfId="1876" applyNumberFormat="1" applyFont="1" applyBorder="1" applyAlignment="1" applyProtection="1">
      <alignment horizontal="center" vertical="center"/>
      <protection hidden="1"/>
    </xf>
    <xf numFmtId="175" fontId="238" fillId="0" borderId="79" xfId="1876" applyNumberFormat="1" applyFont="1" applyBorder="1" applyAlignment="1" applyProtection="1">
      <alignment horizontal="center" vertical="center"/>
      <protection hidden="1"/>
    </xf>
    <xf numFmtId="0" fontId="238" fillId="0" borderId="0" xfId="2824" applyFont="1" applyAlignment="1" applyProtection="1">
      <alignment horizontal="center" vertical="center"/>
      <protection locked="0"/>
    </xf>
    <xf numFmtId="171" fontId="243" fillId="0" borderId="1" xfId="1899" applyFont="1" applyBorder="1" applyAlignment="1">
      <alignment horizontal="right" vertical="center" wrapText="1"/>
    </xf>
    <xf numFmtId="4" fontId="17" fillId="0" borderId="0" xfId="2824" applyNumberFormat="1" applyFont="1" applyAlignment="1" applyProtection="1">
      <alignment vertical="center"/>
      <protection locked="0"/>
    </xf>
    <xf numFmtId="172" fontId="316" fillId="0" borderId="20" xfId="0" applyNumberFormat="1" applyFont="1" applyBorder="1" applyAlignment="1">
      <alignment horizontal="center" vertical="center"/>
    </xf>
    <xf numFmtId="0" fontId="17" fillId="0" borderId="1" xfId="2221" applyFont="1" applyBorder="1" applyAlignment="1">
      <alignment vertical="center"/>
    </xf>
    <xf numFmtId="0" fontId="17" fillId="0" borderId="1" xfId="2221" applyFont="1" applyBorder="1" applyAlignment="1">
      <alignment horizontal="center" vertical="center"/>
    </xf>
    <xf numFmtId="172" fontId="263" fillId="59" borderId="1" xfId="2221" applyNumberFormat="1" applyFont="1" applyFill="1" applyBorder="1" applyAlignment="1">
      <alignment horizontal="right" vertical="center"/>
    </xf>
    <xf numFmtId="173" fontId="17" fillId="0" borderId="1" xfId="2221" applyNumberFormat="1" applyFont="1" applyBorder="1" applyAlignment="1">
      <alignment vertical="center"/>
    </xf>
    <xf numFmtId="3" fontId="17" fillId="0" borderId="1" xfId="1899" applyNumberFormat="1" applyFont="1" applyBorder="1" applyAlignment="1">
      <alignment vertical="center"/>
    </xf>
    <xf numFmtId="3" fontId="17" fillId="0" borderId="50" xfId="1899" applyNumberFormat="1" applyFont="1" applyBorder="1" applyAlignment="1">
      <alignment vertical="center"/>
    </xf>
    <xf numFmtId="0" fontId="17" fillId="0" borderId="0" xfId="2221" applyFont="1" applyAlignment="1">
      <alignment vertical="center"/>
    </xf>
    <xf numFmtId="171" fontId="17" fillId="0" borderId="0" xfId="1899" applyFont="1" applyAlignment="1">
      <alignment vertical="center"/>
    </xf>
    <xf numFmtId="0" fontId="14" fillId="0" borderId="20" xfId="2824" applyFont="1" applyBorder="1" applyAlignment="1" applyProtection="1">
      <alignment vertical="center"/>
      <protection hidden="1"/>
    </xf>
    <xf numFmtId="328" fontId="6" fillId="0" borderId="20" xfId="2824" applyNumberFormat="1" applyBorder="1" applyAlignment="1" applyProtection="1">
      <alignment horizontal="center" vertical="center"/>
      <protection hidden="1"/>
    </xf>
    <xf numFmtId="0" fontId="6" fillId="0" borderId="20" xfId="2824" applyBorder="1" applyAlignment="1" applyProtection="1">
      <alignment horizontal="center" vertical="center" shrinkToFit="1"/>
      <protection hidden="1"/>
    </xf>
    <xf numFmtId="175" fontId="6" fillId="0" borderId="55" xfId="1899" applyNumberFormat="1" applyFont="1" applyBorder="1" applyAlignment="1" applyProtection="1">
      <alignment vertical="center"/>
      <protection hidden="1"/>
    </xf>
    <xf numFmtId="0" fontId="17" fillId="0" borderId="45" xfId="2824" applyFont="1" applyBorder="1" applyAlignment="1" applyProtection="1">
      <alignment horizontal="center" vertical="center"/>
      <protection locked="0"/>
    </xf>
    <xf numFmtId="0" fontId="8" fillId="0" borderId="20" xfId="2824" applyFont="1" applyBorder="1" applyAlignment="1" applyProtection="1">
      <alignment horizontal="center" vertical="center" shrinkToFit="1"/>
      <protection locked="0"/>
    </xf>
    <xf numFmtId="0" fontId="17" fillId="0" borderId="1" xfId="2824" applyFont="1" applyBorder="1" applyAlignment="1" applyProtection="1">
      <alignment vertical="center"/>
      <protection locked="0" hidden="1"/>
    </xf>
    <xf numFmtId="0" fontId="21" fillId="0" borderId="29" xfId="2824" applyFont="1" applyBorder="1" applyAlignment="1" applyProtection="1">
      <alignment horizontal="center" vertical="center" shrinkToFit="1"/>
      <protection hidden="1"/>
    </xf>
    <xf numFmtId="175" fontId="21" fillId="0" borderId="60" xfId="2824" applyNumberFormat="1" applyFont="1" applyBorder="1" applyAlignment="1" applyProtection="1">
      <alignment horizontal="center" vertical="center"/>
      <protection hidden="1"/>
    </xf>
    <xf numFmtId="175" fontId="21" fillId="0" borderId="86" xfId="1899" applyNumberFormat="1" applyFont="1" applyFill="1" applyBorder="1" applyAlignment="1" applyProtection="1">
      <alignment vertical="center"/>
      <protection hidden="1"/>
    </xf>
    <xf numFmtId="0" fontId="281" fillId="0" borderId="78" xfId="0" applyFont="1" applyBorder="1" applyAlignment="1">
      <alignment horizontal="center" vertical="center"/>
    </xf>
    <xf numFmtId="171" fontId="313" fillId="88" borderId="1" xfId="1876" applyFont="1" applyFill="1" applyBorder="1" applyAlignment="1">
      <alignment horizontal="right" vertical="center"/>
    </xf>
    <xf numFmtId="308" fontId="6" fillId="0" borderId="0" xfId="1899" applyNumberFormat="1" applyFont="1" applyFill="1" applyAlignment="1" applyProtection="1">
      <alignment horizontal="center"/>
      <protection hidden="1"/>
    </xf>
    <xf numFmtId="0" fontId="17" fillId="59" borderId="1" xfId="0" applyFont="1" applyFill="1" applyBorder="1" applyAlignment="1">
      <alignment vertical="center"/>
    </xf>
    <xf numFmtId="0" fontId="17" fillId="59" borderId="1" xfId="0" applyFont="1" applyFill="1" applyBorder="1" applyAlignment="1">
      <alignment horizontal="center" vertical="center"/>
    </xf>
    <xf numFmtId="172" fontId="17" fillId="59" borderId="1" xfId="0" applyNumberFormat="1" applyFont="1" applyFill="1" applyBorder="1" applyAlignment="1">
      <alignment horizontal="right" vertical="center"/>
    </xf>
    <xf numFmtId="3" fontId="17" fillId="0" borderId="50" xfId="0" applyNumberFormat="1" applyFont="1" applyBorder="1" applyAlignment="1">
      <alignment vertical="center"/>
    </xf>
    <xf numFmtId="0" fontId="17" fillId="59" borderId="0" xfId="0" applyFont="1" applyFill="1" applyAlignment="1">
      <alignment vertical="center"/>
    </xf>
    <xf numFmtId="175" fontId="249" fillId="0" borderId="0" xfId="1899" applyNumberFormat="1" applyFont="1"/>
    <xf numFmtId="333" fontId="0" fillId="0" borderId="1" xfId="0" applyNumberFormat="1" applyBorder="1" applyAlignment="1">
      <alignment horizontal="center" vertical="center"/>
    </xf>
    <xf numFmtId="0" fontId="280" fillId="0" borderId="78" xfId="0" applyFont="1" applyBorder="1" applyAlignment="1">
      <alignment horizontal="center" vertical="center" wrapText="1"/>
    </xf>
    <xf numFmtId="0" fontId="280" fillId="0" borderId="54" xfId="0" applyFont="1" applyBorder="1" applyAlignment="1">
      <alignment horizontal="center" vertical="center" wrapText="1"/>
    </xf>
    <xf numFmtId="0" fontId="280" fillId="0" borderId="49" xfId="0" applyFont="1" applyBorder="1" applyAlignment="1">
      <alignment horizontal="center" vertical="center" wrapText="1"/>
    </xf>
    <xf numFmtId="333" fontId="0" fillId="0" borderId="1" xfId="0" applyNumberFormat="1" applyBorder="1" applyAlignment="1">
      <alignment horizontal="center" vertical="center" shrinkToFit="1"/>
    </xf>
    <xf numFmtId="0" fontId="6" fillId="90" borderId="1" xfId="0" applyFont="1" applyFill="1" applyBorder="1" applyAlignment="1">
      <alignment vertical="center"/>
    </xf>
    <xf numFmtId="0" fontId="6" fillId="90" borderId="1" xfId="0" applyFont="1" applyFill="1" applyBorder="1" applyAlignment="1">
      <alignment horizontal="center" vertical="center"/>
    </xf>
    <xf numFmtId="174" fontId="6" fillId="90" borderId="1" xfId="0" applyNumberFormat="1" applyFont="1" applyFill="1" applyBorder="1" applyAlignment="1">
      <alignment horizontal="center" vertical="center"/>
    </xf>
    <xf numFmtId="173" fontId="6" fillId="90" borderId="1" xfId="0" applyNumberFormat="1" applyFont="1" applyFill="1" applyBorder="1" applyAlignment="1">
      <alignment vertical="center"/>
    </xf>
    <xf numFmtId="173" fontId="6" fillId="90" borderId="63" xfId="0" applyNumberFormat="1" applyFont="1" applyFill="1" applyBorder="1" applyAlignment="1">
      <alignment horizontal="center" vertical="center"/>
    </xf>
    <xf numFmtId="173" fontId="6" fillId="90" borderId="50" xfId="0" applyNumberFormat="1" applyFont="1" applyFill="1" applyBorder="1" applyAlignment="1">
      <alignment vertical="center"/>
    </xf>
    <xf numFmtId="173" fontId="6" fillId="90" borderId="0" xfId="0" applyNumberFormat="1" applyFont="1" applyFill="1" applyAlignment="1">
      <alignment vertical="center"/>
    </xf>
    <xf numFmtId="0" fontId="6" fillId="90" borderId="0" xfId="0" applyFont="1" applyFill="1" applyAlignment="1">
      <alignment vertical="center"/>
    </xf>
    <xf numFmtId="174" fontId="6" fillId="0" borderId="1" xfId="0" applyNumberFormat="1" applyFont="1" applyBorder="1" applyAlignment="1">
      <alignment horizontal="center" vertical="center"/>
    </xf>
    <xf numFmtId="173" fontId="6" fillId="0" borderId="63" xfId="0" applyNumberFormat="1" applyFont="1" applyBorder="1" applyAlignment="1">
      <alignment horizontal="center" vertical="center"/>
    </xf>
    <xf numFmtId="173" fontId="6" fillId="0" borderId="0" xfId="0" applyNumberFormat="1" applyFont="1" applyAlignment="1">
      <alignment vertical="center"/>
    </xf>
    <xf numFmtId="3" fontId="6" fillId="0" borderId="1" xfId="0" applyNumberFormat="1" applyFont="1" applyBorder="1" applyAlignment="1">
      <alignment vertical="center"/>
    </xf>
    <xf numFmtId="0" fontId="333" fillId="0" borderId="49" xfId="0" applyFont="1" applyBorder="1"/>
    <xf numFmtId="0" fontId="333" fillId="0" borderId="1" xfId="0" applyFont="1" applyBorder="1"/>
    <xf numFmtId="0" fontId="333" fillId="0" borderId="1" xfId="0" applyFont="1" applyBorder="1" applyAlignment="1">
      <alignment horizontal="right"/>
    </xf>
    <xf numFmtId="173" fontId="333" fillId="0" borderId="1" xfId="0" applyNumberFormat="1" applyFont="1" applyBorder="1"/>
    <xf numFmtId="4" fontId="333" fillId="0" borderId="1" xfId="0" applyNumberFormat="1" applyFont="1" applyBorder="1" applyAlignment="1">
      <alignment horizontal="center"/>
    </xf>
    <xf numFmtId="173" fontId="334" fillId="0" borderId="1" xfId="0" applyNumberFormat="1" applyFont="1" applyBorder="1"/>
    <xf numFmtId="173" fontId="334" fillId="0" borderId="50" xfId="0" applyNumberFormat="1" applyFont="1" applyBorder="1"/>
    <xf numFmtId="0" fontId="202" fillId="0" borderId="49" xfId="0" applyFont="1" applyBorder="1" applyAlignment="1">
      <alignment horizontal="center"/>
    </xf>
    <xf numFmtId="0" fontId="202" fillId="0" borderId="1" xfId="0" applyFont="1" applyBorder="1"/>
    <xf numFmtId="3" fontId="202" fillId="0" borderId="1" xfId="0" applyNumberFormat="1" applyFont="1" applyBorder="1"/>
    <xf numFmtId="4" fontId="202" fillId="0" borderId="1" xfId="0" applyNumberFormat="1" applyFont="1" applyBorder="1"/>
    <xf numFmtId="173" fontId="202" fillId="0" borderId="1" xfId="0" applyNumberFormat="1" applyFont="1" applyBorder="1"/>
    <xf numFmtId="173" fontId="202" fillId="0" borderId="50" xfId="0" applyNumberFormat="1" applyFont="1" applyBorder="1"/>
    <xf numFmtId="0" fontId="6" fillId="0" borderId="79" xfId="0" applyFont="1" applyBorder="1" applyAlignment="1">
      <alignment vertical="center"/>
    </xf>
    <xf numFmtId="173" fontId="21" fillId="0" borderId="0" xfId="0" applyNumberFormat="1" applyFont="1" applyAlignment="1">
      <alignment vertical="center"/>
    </xf>
    <xf numFmtId="172" fontId="321" fillId="0" borderId="1" xfId="0" applyNumberFormat="1" applyFont="1" applyBorder="1" applyAlignment="1">
      <alignment horizontal="right" vertical="center"/>
    </xf>
    <xf numFmtId="3" fontId="17" fillId="0" borderId="1" xfId="0" applyNumberFormat="1" applyFont="1" applyBorder="1" applyAlignment="1">
      <alignment vertical="center"/>
    </xf>
    <xf numFmtId="0" fontId="0" fillId="0" borderId="54" xfId="0" applyBorder="1" applyAlignment="1">
      <alignment horizontal="center" vertical="center" wrapText="1"/>
    </xf>
    <xf numFmtId="177" fontId="243" fillId="0" borderId="20" xfId="1899" applyNumberFormat="1" applyFont="1" applyBorder="1" applyAlignment="1">
      <alignment horizontal="right" vertical="center" wrapText="1"/>
    </xf>
    <xf numFmtId="0" fontId="0" fillId="0" borderId="78" xfId="0" applyBorder="1" applyAlignment="1">
      <alignment horizontal="center" vertical="center" wrapText="1"/>
    </xf>
    <xf numFmtId="0" fontId="0" fillId="0" borderId="79" xfId="0" applyBorder="1" applyAlignment="1">
      <alignment vertical="center"/>
    </xf>
    <xf numFmtId="4" fontId="0" fillId="0" borderId="79" xfId="0" applyNumberFormat="1" applyBorder="1" applyAlignment="1">
      <alignment horizontal="right" vertical="center"/>
    </xf>
    <xf numFmtId="0" fontId="9" fillId="0" borderId="0" xfId="2204" applyFont="1" applyAlignment="1">
      <alignment horizontal="center"/>
    </xf>
    <xf numFmtId="318" fontId="21" fillId="0" borderId="29" xfId="2824" applyNumberFormat="1" applyFont="1" applyBorder="1" applyAlignment="1" applyProtection="1">
      <alignment horizontal="center" vertical="center" shrinkToFit="1"/>
      <protection hidden="1"/>
    </xf>
    <xf numFmtId="3" fontId="242" fillId="0" borderId="2" xfId="0" applyNumberFormat="1" applyFont="1" applyBorder="1" applyAlignment="1">
      <alignment horizontal="center" vertical="center"/>
    </xf>
    <xf numFmtId="0" fontId="242" fillId="0" borderId="2" xfId="0" applyFont="1" applyBorder="1" applyAlignment="1">
      <alignment horizontal="center" vertical="center" wrapText="1"/>
    </xf>
    <xf numFmtId="173" fontId="242" fillId="0" borderId="2" xfId="0" applyNumberFormat="1" applyFont="1" applyBorder="1" applyAlignment="1">
      <alignment horizontal="center" vertical="center" wrapText="1"/>
    </xf>
    <xf numFmtId="0" fontId="44" fillId="0" borderId="2" xfId="0" applyFont="1" applyBorder="1" applyAlignment="1">
      <alignment horizontal="center" vertical="center"/>
    </xf>
    <xf numFmtId="0" fontId="44" fillId="0" borderId="2" xfId="0" applyFont="1" applyBorder="1" applyAlignment="1">
      <alignment horizontal="left" vertical="center"/>
    </xf>
    <xf numFmtId="0" fontId="339" fillId="0" borderId="0" xfId="0" applyFont="1" applyAlignment="1">
      <alignment horizontal="center" vertical="center"/>
    </xf>
    <xf numFmtId="0" fontId="339" fillId="0" borderId="0" xfId="0" applyFont="1" applyAlignment="1">
      <alignment vertical="center"/>
    </xf>
    <xf numFmtId="0" fontId="242" fillId="0" borderId="2" xfId="0" applyFont="1" applyBorder="1" applyAlignment="1">
      <alignment horizontal="left" vertical="center" wrapText="1"/>
    </xf>
    <xf numFmtId="0" fontId="339" fillId="0" borderId="0" xfId="0" applyFont="1" applyAlignment="1">
      <alignment horizontal="left" vertical="center"/>
    </xf>
    <xf numFmtId="173" fontId="44" fillId="0" borderId="2" xfId="0" applyNumberFormat="1" applyFont="1" applyBorder="1" applyAlignment="1">
      <alignment horizontal="right" vertical="center"/>
    </xf>
    <xf numFmtId="173" fontId="242" fillId="0" borderId="2" xfId="0" applyNumberFormat="1" applyFont="1" applyBorder="1" applyAlignment="1">
      <alignment horizontal="right" vertical="center"/>
    </xf>
    <xf numFmtId="0" fontId="44" fillId="0" borderId="2" xfId="0" applyFont="1" applyBorder="1" applyAlignment="1">
      <alignment horizontal="center"/>
    </xf>
    <xf numFmtId="0" fontId="44" fillId="0" borderId="0" xfId="0" applyFont="1"/>
    <xf numFmtId="173" fontId="44" fillId="0" borderId="0" xfId="0" applyNumberFormat="1" applyFont="1"/>
    <xf numFmtId="0" fontId="338" fillId="0" borderId="0" xfId="0" applyFont="1" applyAlignment="1">
      <alignment horizontal="center" vertical="center" wrapText="1"/>
    </xf>
    <xf numFmtId="0" fontId="44" fillId="0" borderId="0" xfId="0" applyFont="1" applyAlignment="1">
      <alignment horizontal="center"/>
    </xf>
    <xf numFmtId="0" fontId="242" fillId="0" borderId="2" xfId="0" applyFont="1" applyBorder="1" applyAlignment="1">
      <alignment horizontal="center"/>
    </xf>
    <xf numFmtId="171" fontId="242" fillId="0" borderId="0" xfId="1876" applyFont="1"/>
    <xf numFmtId="0" fontId="242" fillId="0" borderId="0" xfId="0" applyFont="1"/>
    <xf numFmtId="49" fontId="44" fillId="0" borderId="2" xfId="0" applyNumberFormat="1" applyFont="1" applyBorder="1" applyAlignment="1">
      <alignment horizontal="left" vertical="center"/>
    </xf>
    <xf numFmtId="3" fontId="44" fillId="0" borderId="2" xfId="0" applyNumberFormat="1" applyFont="1" applyBorder="1" applyAlignment="1">
      <alignment horizontal="center" vertical="center"/>
    </xf>
    <xf numFmtId="173" fontId="340" fillId="0" borderId="2" xfId="1876" applyNumberFormat="1" applyFont="1" applyFill="1" applyBorder="1" applyAlignment="1">
      <alignment horizontal="right" vertical="center" wrapText="1"/>
    </xf>
    <xf numFmtId="173" fontId="87" fillId="0" borderId="2" xfId="1876" applyNumberFormat="1" applyFont="1" applyFill="1" applyBorder="1" applyAlignment="1">
      <alignment horizontal="right" vertical="center" wrapText="1"/>
    </xf>
    <xf numFmtId="173" fontId="87" fillId="0" borderId="2" xfId="2873" applyNumberFormat="1" applyFont="1" applyFill="1" applyBorder="1" applyAlignment="1">
      <alignment horizontal="right" vertical="center" wrapText="1"/>
    </xf>
    <xf numFmtId="0" fontId="21" fillId="0" borderId="85" xfId="2824" applyFont="1" applyBorder="1" applyAlignment="1" applyProtection="1">
      <alignment horizontal="center" vertical="center"/>
      <protection hidden="1"/>
    </xf>
    <xf numFmtId="0" fontId="21" fillId="0" borderId="99" xfId="2824" applyFont="1" applyBorder="1" applyAlignment="1" applyProtection="1">
      <alignment horizontal="center" vertical="center"/>
      <protection hidden="1"/>
    </xf>
    <xf numFmtId="0" fontId="21" fillId="0" borderId="101" xfId="2824" applyFont="1" applyBorder="1" applyAlignment="1" applyProtection="1">
      <alignment horizontal="center" vertical="center"/>
      <protection hidden="1"/>
    </xf>
    <xf numFmtId="0" fontId="260" fillId="59" borderId="47" xfId="2824" applyFont="1" applyFill="1" applyBorder="1" applyAlignment="1" applyProtection="1">
      <alignment horizontal="center" vertical="center" wrapText="1"/>
      <protection hidden="1"/>
    </xf>
    <xf numFmtId="0" fontId="260" fillId="59" borderId="97" xfId="2824" applyFont="1" applyFill="1" applyBorder="1" applyAlignment="1" applyProtection="1">
      <alignment horizontal="center" vertical="center" wrapText="1"/>
      <protection hidden="1"/>
    </xf>
    <xf numFmtId="0" fontId="260" fillId="59" borderId="48" xfId="2824" applyFont="1" applyFill="1" applyBorder="1" applyAlignment="1" applyProtection="1">
      <alignment horizontal="center" vertical="center" wrapText="1"/>
      <protection hidden="1"/>
    </xf>
    <xf numFmtId="0" fontId="260" fillId="59" borderId="2" xfId="2824" applyFont="1" applyFill="1" applyBorder="1" applyAlignment="1" applyProtection="1">
      <alignment horizontal="center" vertical="center" wrapText="1"/>
      <protection hidden="1"/>
    </xf>
    <xf numFmtId="0" fontId="260" fillId="73" borderId="98" xfId="2824" applyFont="1" applyFill="1" applyBorder="1" applyAlignment="1" applyProtection="1">
      <alignment horizontal="center" vertical="center" wrapText="1"/>
      <protection hidden="1"/>
    </xf>
    <xf numFmtId="0" fontId="260" fillId="73" borderId="9" xfId="2824" applyFont="1" applyFill="1" applyBorder="1" applyAlignment="1" applyProtection="1">
      <alignment horizontal="center" vertical="center" wrapText="1"/>
      <protection hidden="1"/>
    </xf>
    <xf numFmtId="0" fontId="260" fillId="59" borderId="98" xfId="2824" applyFont="1" applyFill="1" applyBorder="1" applyAlignment="1" applyProtection="1">
      <alignment horizontal="center" vertical="center" wrapText="1"/>
      <protection hidden="1"/>
    </xf>
    <xf numFmtId="0" fontId="260" fillId="59" borderId="9" xfId="2824" applyFont="1" applyFill="1" applyBorder="1" applyAlignment="1" applyProtection="1">
      <alignment horizontal="center" vertical="center" wrapText="1"/>
      <protection hidden="1"/>
    </xf>
    <xf numFmtId="0" fontId="21" fillId="0" borderId="48" xfId="2824" applyFont="1" applyBorder="1" applyAlignment="1" applyProtection="1">
      <alignment horizontal="center" vertical="center"/>
      <protection hidden="1"/>
    </xf>
    <xf numFmtId="0" fontId="21" fillId="0" borderId="2" xfId="2824" applyFont="1" applyBorder="1" applyAlignment="1" applyProtection="1">
      <alignment horizontal="center" vertical="center"/>
      <protection hidden="1"/>
    </xf>
    <xf numFmtId="0" fontId="21" fillId="0" borderId="48" xfId="2824" applyFont="1" applyBorder="1" applyAlignment="1" applyProtection="1">
      <alignment horizontal="center"/>
      <protection hidden="1"/>
    </xf>
    <xf numFmtId="0" fontId="21" fillId="0" borderId="38" xfId="2824" applyFont="1" applyBorder="1" applyAlignment="1" applyProtection="1">
      <alignment horizontal="center"/>
      <protection hidden="1"/>
    </xf>
    <xf numFmtId="0" fontId="21" fillId="0" borderId="47" xfId="2824" applyFont="1" applyBorder="1" applyAlignment="1" applyProtection="1">
      <alignment horizontal="center" vertical="center"/>
      <protection hidden="1"/>
    </xf>
    <xf numFmtId="0" fontId="21" fillId="0" borderId="97" xfId="2824" applyFont="1" applyBorder="1" applyAlignment="1" applyProtection="1">
      <alignment horizontal="center" vertical="center"/>
      <protection hidden="1"/>
    </xf>
    <xf numFmtId="0" fontId="21" fillId="0" borderId="98" xfId="2824" applyFont="1" applyBorder="1" applyAlignment="1" applyProtection="1">
      <alignment horizontal="center" vertical="center"/>
      <protection hidden="1"/>
    </xf>
    <xf numFmtId="0" fontId="21" fillId="0" borderId="9" xfId="2824" applyFont="1" applyBorder="1" applyAlignment="1" applyProtection="1">
      <alignment horizontal="center" vertical="center"/>
      <protection hidden="1"/>
    </xf>
    <xf numFmtId="0" fontId="21" fillId="0" borderId="38" xfId="2824" applyFont="1" applyBorder="1" applyAlignment="1" applyProtection="1">
      <alignment horizontal="center" vertical="center"/>
      <protection hidden="1"/>
    </xf>
    <xf numFmtId="0" fontId="7" fillId="0" borderId="0" xfId="2824" applyFont="1" applyAlignment="1" applyProtection="1">
      <alignment horizontal="center"/>
      <protection locked="0"/>
    </xf>
    <xf numFmtId="49" fontId="235" fillId="88" borderId="0" xfId="2824" applyNumberFormat="1" applyFont="1" applyFill="1" applyAlignment="1" applyProtection="1">
      <alignment horizontal="center" vertical="center" wrapText="1"/>
      <protection locked="0"/>
    </xf>
    <xf numFmtId="0" fontId="235" fillId="88" borderId="0" xfId="2824" applyFont="1" applyFill="1" applyAlignment="1" applyProtection="1">
      <alignment horizontal="center" vertical="center" wrapText="1"/>
      <protection locked="0"/>
    </xf>
    <xf numFmtId="0" fontId="235" fillId="0" borderId="0" xfId="2824" applyFont="1" applyAlignment="1" applyProtection="1">
      <alignment horizontal="center" wrapText="1"/>
      <protection locked="0"/>
    </xf>
    <xf numFmtId="0" fontId="256" fillId="0" borderId="0" xfId="0" applyFont="1" applyAlignment="1">
      <alignment horizontal="center"/>
    </xf>
    <xf numFmtId="0" fontId="251" fillId="0" borderId="0" xfId="0" applyFont="1" applyAlignment="1">
      <alignment horizontal="center"/>
    </xf>
    <xf numFmtId="0" fontId="252" fillId="0" borderId="0" xfId="0" applyFont="1" applyAlignment="1">
      <alignment horizontal="center"/>
    </xf>
    <xf numFmtId="0" fontId="7" fillId="59" borderId="0" xfId="2204" applyFont="1" applyFill="1" applyAlignment="1">
      <alignment horizontal="center" vertical="center"/>
    </xf>
    <xf numFmtId="49" fontId="326" fillId="88" borderId="0" xfId="2204" applyNumberFormat="1" applyFont="1" applyFill="1" applyAlignment="1">
      <alignment horizontal="center" vertical="center" wrapText="1"/>
    </xf>
    <xf numFmtId="0" fontId="223" fillId="88" borderId="0" xfId="2204" applyFont="1" applyFill="1" applyAlignment="1">
      <alignment horizontal="center" vertical="center"/>
    </xf>
    <xf numFmtId="49" fontId="332" fillId="88" borderId="0" xfId="2204" applyNumberFormat="1" applyFont="1" applyFill="1" applyAlignment="1">
      <alignment horizontal="center" vertical="center" wrapText="1"/>
    </xf>
    <xf numFmtId="49" fontId="235" fillId="88" borderId="0" xfId="2204" applyNumberFormat="1" applyFont="1" applyFill="1" applyAlignment="1">
      <alignment horizontal="center" vertical="center" wrapText="1"/>
    </xf>
    <xf numFmtId="0" fontId="305" fillId="0" borderId="0" xfId="0" applyFont="1" applyAlignment="1">
      <alignment horizontal="center"/>
    </xf>
    <xf numFmtId="49" fontId="307" fillId="0" borderId="0" xfId="0" applyNumberFormat="1" applyFont="1" applyAlignment="1">
      <alignment horizontal="center" wrapText="1"/>
    </xf>
    <xf numFmtId="0" fontId="307" fillId="0" borderId="0" xfId="0" applyFont="1" applyAlignment="1">
      <alignment horizontal="center" wrapText="1"/>
    </xf>
    <xf numFmtId="49" fontId="307" fillId="0" borderId="0" xfId="0" applyNumberFormat="1" applyFont="1" applyAlignment="1">
      <alignment horizontal="center"/>
    </xf>
    <xf numFmtId="0" fontId="307" fillId="0" borderId="0" xfId="0" applyFont="1" applyAlignment="1">
      <alignment horizontal="center"/>
    </xf>
    <xf numFmtId="0" fontId="283" fillId="0" borderId="95" xfId="0" applyFont="1" applyBorder="1" applyAlignment="1">
      <alignment horizontal="center" vertical="center"/>
    </xf>
    <xf numFmtId="0" fontId="0" fillId="0" borderId="96" xfId="0" applyBorder="1" applyAlignment="1">
      <alignment horizontal="center" vertical="center"/>
    </xf>
    <xf numFmtId="0" fontId="283" fillId="0" borderId="98" xfId="0" applyFont="1" applyBorder="1" applyAlignment="1">
      <alignment horizontal="center" vertical="center" wrapText="1"/>
    </xf>
    <xf numFmtId="0" fontId="0" fillId="0" borderId="9" xfId="0" applyBorder="1" applyAlignment="1">
      <alignment horizontal="center" vertical="center"/>
    </xf>
    <xf numFmtId="0" fontId="283" fillId="0" borderId="98" xfId="0" applyFont="1" applyBorder="1" applyAlignment="1">
      <alignment horizontal="center" vertical="center"/>
    </xf>
    <xf numFmtId="172" fontId="316" fillId="0" borderId="98" xfId="0" applyNumberFormat="1" applyFont="1" applyBorder="1" applyAlignment="1">
      <alignment horizontal="center" vertical="center" wrapText="1"/>
    </xf>
    <xf numFmtId="0" fontId="279" fillId="0" borderId="9" xfId="0" applyFont="1" applyBorder="1" applyAlignment="1">
      <alignment horizontal="center" vertical="center"/>
    </xf>
    <xf numFmtId="173" fontId="283" fillId="0" borderId="85" xfId="0" applyNumberFormat="1" applyFont="1"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3" fontId="283" fillId="0" borderId="85" xfId="0" applyNumberFormat="1" applyFont="1" applyBorder="1" applyAlignment="1">
      <alignment horizontal="center" vertical="center"/>
    </xf>
    <xf numFmtId="0" fontId="0" fillId="0" borderId="101" xfId="0" applyBorder="1" applyAlignment="1">
      <alignment horizontal="center" vertical="center"/>
    </xf>
    <xf numFmtId="0" fontId="338" fillId="0" borderId="0" xfId="0" applyFont="1" applyAlignment="1">
      <alignment horizontal="center" vertical="center" wrapText="1"/>
    </xf>
    <xf numFmtId="0" fontId="336" fillId="0" borderId="0" xfId="0" applyFont="1" applyAlignment="1">
      <alignment horizontal="center" vertical="center" wrapText="1"/>
    </xf>
    <xf numFmtId="0" fontId="244" fillId="59" borderId="38" xfId="0" applyFont="1" applyFill="1" applyBorder="1" applyAlignment="1">
      <alignment horizontal="center" vertical="center" wrapText="1"/>
    </xf>
    <xf numFmtId="0" fontId="258" fillId="59" borderId="74" xfId="0" applyFont="1" applyFill="1" applyBorder="1" applyAlignment="1">
      <alignment horizontal="center" vertical="center" wrapText="1"/>
    </xf>
    <xf numFmtId="0" fontId="258" fillId="86" borderId="102" xfId="0" applyFont="1" applyFill="1" applyBorder="1" applyAlignment="1">
      <alignment horizontal="center" vertical="center" wrapText="1"/>
    </xf>
    <xf numFmtId="0" fontId="258" fillId="86" borderId="101" xfId="0" applyFont="1" applyFill="1" applyBorder="1" applyAlignment="1">
      <alignment horizontal="center" vertical="center" wrapText="1"/>
    </xf>
    <xf numFmtId="0" fontId="266" fillId="59" borderId="0" xfId="0" applyFont="1" applyFill="1" applyAlignment="1">
      <alignment horizontal="center"/>
    </xf>
    <xf numFmtId="0" fontId="262" fillId="59" borderId="47" xfId="0" applyFont="1" applyFill="1" applyBorder="1" applyAlignment="1">
      <alignment horizontal="center" vertical="center" wrapText="1"/>
    </xf>
    <xf numFmtId="0" fontId="262" fillId="59" borderId="97" xfId="0" applyFont="1" applyFill="1" applyBorder="1" applyAlignment="1">
      <alignment horizontal="center" vertical="center" wrapText="1"/>
    </xf>
    <xf numFmtId="0" fontId="262" fillId="59" borderId="48" xfId="0" applyFont="1" applyFill="1" applyBorder="1" applyAlignment="1">
      <alignment horizontal="center" vertical="center" wrapText="1"/>
    </xf>
    <xf numFmtId="0" fontId="262" fillId="59" borderId="2" xfId="0" applyFont="1" applyFill="1" applyBorder="1" applyAlignment="1">
      <alignment horizontal="center" vertical="center" wrapText="1"/>
    </xf>
    <xf numFmtId="0" fontId="260" fillId="59" borderId="48" xfId="0" applyFont="1" applyFill="1" applyBorder="1" applyAlignment="1">
      <alignment horizontal="center" vertical="center" wrapText="1"/>
    </xf>
    <xf numFmtId="0" fontId="269" fillId="59" borderId="48" xfId="0" applyFont="1" applyFill="1" applyBorder="1" applyAlignment="1">
      <alignment horizontal="center" vertical="center" wrapText="1"/>
    </xf>
    <xf numFmtId="0" fontId="270" fillId="59" borderId="48" xfId="0" applyFont="1" applyFill="1" applyBorder="1" applyAlignment="1">
      <alignment horizontal="center" vertical="center" wrapText="1"/>
    </xf>
    <xf numFmtId="0" fontId="258" fillId="59" borderId="38" xfId="0" applyFont="1" applyFill="1" applyBorder="1" applyAlignment="1">
      <alignment horizontal="center" vertical="center" wrapText="1"/>
    </xf>
    <xf numFmtId="0" fontId="244" fillId="59" borderId="48" xfId="0" applyFont="1" applyFill="1" applyBorder="1" applyAlignment="1">
      <alignment horizontal="center" vertical="center" wrapText="1"/>
    </xf>
    <xf numFmtId="0" fontId="258" fillId="59" borderId="48" xfId="0" applyFont="1" applyFill="1" applyBorder="1" applyAlignment="1">
      <alignment horizontal="center" vertical="center" wrapText="1"/>
    </xf>
    <xf numFmtId="177" fontId="343" fillId="0" borderId="0" xfId="2875" applyNumberFormat="1" applyFont="1" applyFill="1" applyAlignment="1">
      <alignment horizontal="center"/>
    </xf>
    <xf numFmtId="177" fontId="343" fillId="0" borderId="0" xfId="2875" applyNumberFormat="1" applyFont="1" applyFill="1" applyAlignment="1">
      <alignment horizontal="center" vertical="center"/>
    </xf>
    <xf numFmtId="0" fontId="342" fillId="0" borderId="0" xfId="0" applyFont="1" applyFill="1" applyAlignment="1">
      <alignment horizontal="center" vertical="center"/>
    </xf>
    <xf numFmtId="0" fontId="343" fillId="0" borderId="0" xfId="0" applyFont="1" applyFill="1" applyAlignment="1">
      <alignment wrapText="1"/>
    </xf>
    <xf numFmtId="0" fontId="344" fillId="0" borderId="0" xfId="0" applyFont="1" applyFill="1"/>
    <xf numFmtId="0" fontId="342" fillId="0" borderId="0" xfId="0" applyFont="1" applyFill="1"/>
    <xf numFmtId="0" fontId="343" fillId="0" borderId="0" xfId="0" applyFont="1" applyFill="1" applyAlignment="1">
      <alignment vertical="center" wrapText="1"/>
    </xf>
    <xf numFmtId="0" fontId="344" fillId="0" borderId="0" xfId="0" applyFont="1" applyFill="1" applyAlignment="1">
      <alignment vertical="center"/>
    </xf>
    <xf numFmtId="0" fontId="342" fillId="0" borderId="0" xfId="0" applyFont="1" applyFill="1" applyAlignment="1">
      <alignment vertical="center"/>
    </xf>
    <xf numFmtId="0" fontId="336" fillId="0" borderId="0" xfId="0" applyFont="1" applyFill="1" applyAlignment="1">
      <alignment horizontal="center" vertical="center" wrapText="1"/>
    </xf>
    <xf numFmtId="0" fontId="87" fillId="0" borderId="0" xfId="0" applyFont="1" applyFill="1" applyAlignment="1">
      <alignment vertical="center" wrapText="1"/>
    </xf>
    <xf numFmtId="0" fontId="338" fillId="0" borderId="0" xfId="0" applyFont="1" applyFill="1" applyAlignment="1">
      <alignment horizontal="center" vertical="center" wrapText="1"/>
    </xf>
    <xf numFmtId="0" fontId="87" fillId="0" borderId="0" xfId="0" applyFont="1" applyFill="1" applyAlignment="1">
      <alignment vertical="center"/>
    </xf>
    <xf numFmtId="3" fontId="340" fillId="0" borderId="2" xfId="0" applyNumberFormat="1" applyFont="1" applyFill="1" applyBorder="1" applyAlignment="1">
      <alignment horizontal="center" vertical="center" wrapText="1"/>
    </xf>
    <xf numFmtId="0" fontId="340" fillId="0" borderId="24" xfId="0" applyFont="1" applyFill="1" applyBorder="1" applyAlignment="1">
      <alignment horizontal="center" vertical="center" wrapText="1"/>
    </xf>
    <xf numFmtId="0" fontId="340" fillId="0" borderId="22" xfId="0" applyFont="1" applyFill="1" applyBorder="1" applyAlignment="1">
      <alignment horizontal="center" vertical="center" wrapText="1"/>
    </xf>
    <xf numFmtId="0" fontId="340" fillId="0" borderId="111" xfId="0" applyFont="1" applyFill="1" applyBorder="1" applyAlignment="1">
      <alignment horizontal="center" vertical="center" wrapText="1"/>
    </xf>
    <xf numFmtId="0" fontId="340" fillId="0" borderId="2" xfId="0" applyFont="1" applyFill="1" applyBorder="1" applyAlignment="1">
      <alignment horizontal="center" vertical="center" wrapText="1"/>
    </xf>
    <xf numFmtId="173" fontId="340" fillId="0" borderId="2" xfId="0" applyNumberFormat="1" applyFont="1" applyFill="1" applyBorder="1" applyAlignment="1">
      <alignment horizontal="center" vertical="center" wrapText="1"/>
    </xf>
    <xf numFmtId="0" fontId="340" fillId="0" borderId="2" xfId="0" applyFont="1" applyFill="1" applyBorder="1" applyAlignment="1">
      <alignment horizontal="left" vertical="center" wrapText="1"/>
    </xf>
    <xf numFmtId="4" fontId="340" fillId="0" borderId="2" xfId="0" applyNumberFormat="1" applyFont="1" applyFill="1" applyBorder="1" applyAlignment="1">
      <alignment horizontal="center" vertical="center" wrapText="1"/>
    </xf>
    <xf numFmtId="0" fontId="340" fillId="0" borderId="2" xfId="0" applyFont="1" applyFill="1" applyBorder="1" applyAlignment="1">
      <alignment vertical="center" wrapText="1"/>
    </xf>
    <xf numFmtId="173" fontId="340" fillId="0" borderId="2" xfId="0" applyNumberFormat="1" applyFont="1" applyFill="1" applyBorder="1" applyAlignment="1">
      <alignment vertical="center" wrapText="1"/>
    </xf>
    <xf numFmtId="0" fontId="340" fillId="0" borderId="0" xfId="0" applyFont="1" applyFill="1" applyAlignment="1">
      <alignment vertical="center" wrapText="1"/>
    </xf>
    <xf numFmtId="0" fontId="87" fillId="0" borderId="2" xfId="0" applyFont="1" applyFill="1" applyBorder="1" applyAlignment="1">
      <alignment horizontal="center" vertical="center" wrapText="1"/>
    </xf>
    <xf numFmtId="0" fontId="87" fillId="0" borderId="2" xfId="0" applyFont="1" applyFill="1" applyBorder="1" applyAlignment="1">
      <alignment horizontal="left" vertical="center" wrapText="1"/>
    </xf>
    <xf numFmtId="173" fontId="87" fillId="0" borderId="2" xfId="0" applyNumberFormat="1" applyFont="1" applyFill="1" applyBorder="1" applyAlignment="1">
      <alignment horizontal="right" vertical="center" wrapText="1"/>
    </xf>
    <xf numFmtId="4" fontId="87" fillId="0" borderId="2" xfId="0" applyNumberFormat="1" applyFont="1" applyFill="1" applyBorder="1" applyAlignment="1">
      <alignment horizontal="center" vertical="center" wrapText="1"/>
    </xf>
    <xf numFmtId="0" fontId="87" fillId="0" borderId="2" xfId="0" applyFont="1" applyFill="1" applyBorder="1" applyAlignment="1">
      <alignment vertical="center" wrapText="1"/>
    </xf>
    <xf numFmtId="173" fontId="87" fillId="0" borderId="2" xfId="0" applyNumberFormat="1" applyFont="1" applyFill="1" applyBorder="1" applyAlignment="1">
      <alignment vertical="center" wrapText="1"/>
    </xf>
    <xf numFmtId="173" fontId="340" fillId="0" borderId="2" xfId="0" applyNumberFormat="1" applyFont="1" applyFill="1" applyBorder="1" applyAlignment="1">
      <alignment horizontal="right" vertical="center" wrapText="1"/>
    </xf>
    <xf numFmtId="3" fontId="340" fillId="0" borderId="2" xfId="0" applyNumberFormat="1" applyFont="1" applyFill="1" applyBorder="1" applyAlignment="1">
      <alignment horizontal="center" vertical="center" wrapText="1"/>
    </xf>
    <xf numFmtId="173" fontId="104" fillId="0" borderId="2" xfId="0" applyNumberFormat="1" applyFont="1" applyFill="1" applyBorder="1" applyAlignment="1">
      <alignment horizontal="right" vertical="center" wrapText="1"/>
    </xf>
    <xf numFmtId="0" fontId="87" fillId="0" borderId="2" xfId="0" applyFont="1" applyFill="1" applyBorder="1" applyAlignment="1">
      <alignment horizontal="center" vertical="center"/>
    </xf>
    <xf numFmtId="173" fontId="87" fillId="0" borderId="2" xfId="0" applyNumberFormat="1" applyFont="1" applyFill="1" applyBorder="1" applyAlignment="1">
      <alignment horizontal="right" vertical="center"/>
    </xf>
    <xf numFmtId="4" fontId="87" fillId="0" borderId="2" xfId="0" applyNumberFormat="1" applyFont="1" applyFill="1" applyBorder="1" applyAlignment="1">
      <alignment horizontal="center" vertical="center"/>
    </xf>
    <xf numFmtId="3" fontId="87" fillId="0" borderId="0" xfId="0" applyNumberFormat="1" applyFont="1" applyFill="1" applyAlignment="1">
      <alignment horizontal="center" vertical="center" wrapText="1"/>
    </xf>
    <xf numFmtId="173" fontId="87" fillId="0" borderId="0" xfId="0" applyNumberFormat="1" applyFont="1" applyFill="1" applyAlignment="1">
      <alignment horizontal="right" vertical="center" wrapText="1"/>
    </xf>
    <xf numFmtId="0" fontId="87" fillId="0" borderId="0" xfId="0" applyFont="1" applyFill="1" applyAlignment="1">
      <alignment horizontal="center" vertical="center" wrapText="1"/>
    </xf>
    <xf numFmtId="173" fontId="87" fillId="0" borderId="0" xfId="0" applyNumberFormat="1" applyFont="1" applyFill="1" applyAlignment="1">
      <alignment vertical="center" wrapText="1"/>
    </xf>
  </cellXfs>
  <cellStyles count="2911">
    <cellStyle name="_x0001_" xfId="1" xr:uid="{00000000-0005-0000-0000-000000000000}"/>
    <cellStyle name="          _x000d__x000a_shell=progman.exe_x000d__x000a_m" xfId="2" xr:uid="{00000000-0005-0000-0000-000001000000}"/>
    <cellStyle name="          _x000d__x000a_shell=progman.exe_x000d__x000a_m 2" xfId="3" xr:uid="{00000000-0005-0000-0000-000002000000}"/>
    <cellStyle name="          _x000d__x000a_shell=progman.exe_x000d__x000a_m_Du kien giai ngan cac du an den 30-6-16-OK" xfId="4" xr:uid="{00000000-0005-0000-0000-000003000000}"/>
    <cellStyle name="_x0001_ 2" xfId="5" xr:uid="{00000000-0005-0000-0000-000004000000}"/>
    <cellStyle name=" Task]_x000d__x000a_TaskName=Scan At_x000d__x000a_TaskID=3_x000d__x000a_WorkstationName=SmarTone_x000d__x000a_LastExecuted=0_x000d__x000a_LastSt" xfId="6" xr:uid="{00000000-0005-0000-0000-000005000000}"/>
    <cellStyle name="###.###.###" xfId="7" xr:uid="{00000000-0005-0000-0000-000006000000}"/>
    <cellStyle name="#,##0" xfId="8" xr:uid="{00000000-0005-0000-0000-000007000000}"/>
    <cellStyle name="%" xfId="9" xr:uid="{00000000-0005-0000-0000-000008000000}"/>
    <cellStyle name=",." xfId="10" xr:uid="{00000000-0005-0000-0000-000009000000}"/>
    <cellStyle name="､@ｯ・ｰl･[ｨ｣ｿn" xfId="11" xr:uid="{00000000-0005-0000-0000-00000A000000}"/>
    <cellStyle name="." xfId="12" xr:uid="{00000000-0005-0000-0000-00000B000000}"/>
    <cellStyle name=".d©y" xfId="13" xr:uid="{00000000-0005-0000-0000-00000C000000}"/>
    <cellStyle name="??" xfId="14" xr:uid="{00000000-0005-0000-0000-00000D000000}"/>
    <cellStyle name="?? [ - ??1" xfId="15" xr:uid="{00000000-0005-0000-0000-00000E000000}"/>
    <cellStyle name="?? [ - ??2" xfId="16" xr:uid="{00000000-0005-0000-0000-00000F000000}"/>
    <cellStyle name="?? [ - ??3" xfId="17" xr:uid="{00000000-0005-0000-0000-000010000000}"/>
    <cellStyle name="?? [ - ??4" xfId="18" xr:uid="{00000000-0005-0000-0000-000011000000}"/>
    <cellStyle name="?? [ - ??5" xfId="19" xr:uid="{00000000-0005-0000-0000-000012000000}"/>
    <cellStyle name="?? [ - ??6" xfId="20" xr:uid="{00000000-0005-0000-0000-000013000000}"/>
    <cellStyle name="?? [ - ??7" xfId="21" xr:uid="{00000000-0005-0000-0000-000014000000}"/>
    <cellStyle name="?? [ - ??8" xfId="22" xr:uid="{00000000-0005-0000-0000-000015000000}"/>
    <cellStyle name="?? [0.00]_      " xfId="23" xr:uid="{00000000-0005-0000-0000-000016000000}"/>
    <cellStyle name="?? [0]" xfId="24" xr:uid="{00000000-0005-0000-0000-000017000000}"/>
    <cellStyle name="?_x001d_??%U©÷u&amp;H©÷9_x0008_?_x0009_s_x000a__x0007__x0001__x0001_" xfId="25" xr:uid="{00000000-0005-0000-0000-000018000000}"/>
    <cellStyle name="???? ??" xfId="26" xr:uid="{00000000-0005-0000-0000-000019000000}"/>
    <cellStyle name="???? [0.00]_      " xfId="27" xr:uid="{00000000-0005-0000-0000-00001A000000}"/>
    <cellStyle name="??????" xfId="28" xr:uid="{00000000-0005-0000-0000-00001B000000}"/>
    <cellStyle name="???????" xfId="29" xr:uid="{00000000-0005-0000-0000-00001C000000}"/>
    <cellStyle name="????????????" xfId="30" xr:uid="{00000000-0005-0000-0000-00001D000000}"/>
    <cellStyle name="????_      " xfId="31" xr:uid="{00000000-0005-0000-0000-00001E000000}"/>
    <cellStyle name="???[0]_?? DI" xfId="32" xr:uid="{00000000-0005-0000-0000-00001F000000}"/>
    <cellStyle name="???_?? DI" xfId="33" xr:uid="{00000000-0005-0000-0000-000020000000}"/>
    <cellStyle name="??[0]_BRE" xfId="34" xr:uid="{00000000-0005-0000-0000-000021000000}"/>
    <cellStyle name="??_      " xfId="35" xr:uid="{00000000-0005-0000-0000-000022000000}"/>
    <cellStyle name="??A? [0]_laroux_1_¢¬???¢â? " xfId="36" xr:uid="{00000000-0005-0000-0000-000023000000}"/>
    <cellStyle name="??A?_laroux_1_¢¬???¢â? " xfId="37" xr:uid="{00000000-0005-0000-0000-000024000000}"/>
    <cellStyle name="?¡±¢¥?_?¨ù??¢´¢¥_¢¬???¢â? " xfId="38" xr:uid="{00000000-0005-0000-0000-000025000000}"/>
    <cellStyle name="_x0001_?¶æµ_x001b_ºß­ " xfId="39" xr:uid="{00000000-0005-0000-0000-000026000000}"/>
    <cellStyle name="_x0001_?¶æµ_x001b_ºß­_" xfId="40" xr:uid="{00000000-0005-0000-0000-000027000000}"/>
    <cellStyle name="?ðÇ%U?&amp;H?_x0008_?s_x000a__x0007__x0001__x0001_" xfId="41" xr:uid="{00000000-0005-0000-0000-000028000000}"/>
    <cellStyle name="? [0.00]_Book5" xfId="42" xr:uid="{00000000-0005-0000-0000-000029000000}"/>
    <cellStyle name="?_Book5" xfId="43" xr:uid="{00000000-0005-0000-0000-00002A000000}"/>
    <cellStyle name="_x0001_\Ô" xfId="44" xr:uid="{00000000-0005-0000-0000-00002B000000}"/>
    <cellStyle name="_(HCNnguyen) (23.6) CACTUYENNVSON" xfId="45" xr:uid="{00000000-0005-0000-0000-00002C000000}"/>
    <cellStyle name="_(HCNnguyen) (23.6) CACTUYENNVSON_Book1" xfId="46" xr:uid="{00000000-0005-0000-0000-00002D000000}"/>
    <cellStyle name="_0. Nha o tam dieu hanh ky thuat " xfId="47" xr:uid="{00000000-0005-0000-0000-00002E000000}"/>
    <cellStyle name="_0. Nha o tam dieu hanh ky thuat _Book1" xfId="48" xr:uid="{00000000-0005-0000-0000-00002F000000}"/>
    <cellStyle name="_01-Etel - ADSL KDC HoaThuan-AN DON-SON TRA" xfId="49" xr:uid="{00000000-0005-0000-0000-000030000000}"/>
    <cellStyle name="_01-Etel - ADSL KDC HoaThuan-AN DON-SON TRA_Book1" xfId="50" xr:uid="{00000000-0005-0000-0000-000031000000}"/>
    <cellStyle name="_111111111111111111111111111111111" xfId="51" xr:uid="{00000000-0005-0000-0000-000032000000}"/>
    <cellStyle name="_18-7" xfId="52" xr:uid="{00000000-0005-0000-0000-000033000000}"/>
    <cellStyle name="_29-5" xfId="53" xr:uid="{00000000-0005-0000-0000-000034000000}"/>
    <cellStyle name="_9-7" xfId="54" xr:uid="{00000000-0005-0000-0000-000035000000}"/>
    <cellStyle name="_anh Van 12.17.11" xfId="55" xr:uid="{00000000-0005-0000-0000-000036000000}"/>
    <cellStyle name="_anh Van 12.17.11_Book1" xfId="56" xr:uid="{00000000-0005-0000-0000-000037000000}"/>
    <cellStyle name="_Ban 47 (caobang)_TKBVTC" xfId="57" xr:uid="{00000000-0005-0000-0000-000038000000}"/>
    <cellStyle name="_Ban 47 (caobang)_TKBVTC_Book1" xfId="58" xr:uid="{00000000-0005-0000-0000-000039000000}"/>
    <cellStyle name="_Bang Chi tieu (2)" xfId="59" xr:uid="{00000000-0005-0000-0000-00003A000000}"/>
    <cellStyle name="_Bang Chi tieu (2) 2" xfId="2826" xr:uid="{00000000-0005-0000-0000-00003B000000}"/>
    <cellStyle name="_BANG TINH KHOI LUONG " xfId="60" xr:uid="{00000000-0005-0000-0000-00003C000000}"/>
    <cellStyle name="_BẢNG TỔNG HỢP" xfId="61" xr:uid="{00000000-0005-0000-0000-00003D000000}"/>
    <cellStyle name="_x0001__BangMTC" xfId="62" xr:uid="{00000000-0005-0000-0000-00003E000000}"/>
    <cellStyle name="_x0001__BangNC" xfId="63" xr:uid="{00000000-0005-0000-0000-00003F000000}"/>
    <cellStyle name="_BangTH" xfId="64" xr:uid="{00000000-0005-0000-0000-000040000000}"/>
    <cellStyle name="_BangTH_9-7" xfId="65" xr:uid="{00000000-0005-0000-0000-000041000000}"/>
    <cellStyle name="_BangTH_BAO CAO Moi" xfId="66" xr:uid="{00000000-0005-0000-0000-000042000000}"/>
    <cellStyle name="_BangTH_BC Tong KV1 Binh" xfId="67" xr:uid="{00000000-0005-0000-0000-000043000000}"/>
    <cellStyle name="_BangTH_BTS" xfId="68" xr:uid="{00000000-0005-0000-0000-000044000000}"/>
    <cellStyle name="_BangTH_KV2" xfId="69" xr:uid="{00000000-0005-0000-0000-000045000000}"/>
    <cellStyle name="_BangTH_Phong HT Bao Cao" xfId="70" xr:uid="{00000000-0005-0000-0000-000046000000}"/>
    <cellStyle name="_BangTH_QH xa ok.xls" xfId="71" xr:uid="{00000000-0005-0000-0000-000047000000}"/>
    <cellStyle name="_BangTH_QHX" xfId="72" xr:uid="{00000000-0005-0000-0000-000048000000}"/>
    <cellStyle name="_BangTH_QHX Moi" xfId="73" xr:uid="{00000000-0005-0000-0000-000049000000}"/>
    <cellStyle name="_BangTH_Quang Hoa Xa Tong The lam hang ngay" xfId="74" xr:uid="{00000000-0005-0000-0000-00004A000000}"/>
    <cellStyle name="_BANGTHTTKPHI-TRAM DM 23" xfId="75" xr:uid="{00000000-0005-0000-0000-00004B000000}"/>
    <cellStyle name="_BANGTHTTKPHI-TRAM DM 23_9-7" xfId="76" xr:uid="{00000000-0005-0000-0000-00004C000000}"/>
    <cellStyle name="_BANGTHTTKPHI-TRAM DM 23_BAO CAO Moi" xfId="77" xr:uid="{00000000-0005-0000-0000-00004D000000}"/>
    <cellStyle name="_BANGTHTTKPHI-TRAM DM 23_BC Tong KV1 Binh" xfId="78" xr:uid="{00000000-0005-0000-0000-00004E000000}"/>
    <cellStyle name="_BANGTHTTKPHI-TRAM DM 23_BTS" xfId="79" xr:uid="{00000000-0005-0000-0000-00004F000000}"/>
    <cellStyle name="_BANGTHTTKPHI-TRAM DM 23_KV2" xfId="80" xr:uid="{00000000-0005-0000-0000-000050000000}"/>
    <cellStyle name="_BANGTHTTKPHI-TRAM DM 23_Phong HT Bao Cao" xfId="81" xr:uid="{00000000-0005-0000-0000-000051000000}"/>
    <cellStyle name="_BANGTHTTKPHI-TRAM DM 23_QH xa ok.xls" xfId="82" xr:uid="{00000000-0005-0000-0000-000052000000}"/>
    <cellStyle name="_BANGTHTTKPHI-TRAM DM 23_QHX" xfId="83" xr:uid="{00000000-0005-0000-0000-000053000000}"/>
    <cellStyle name="_BANGTHTTKPHI-TRAM DM 23_QHX Moi" xfId="84" xr:uid="{00000000-0005-0000-0000-000054000000}"/>
    <cellStyle name="_BANGTHTTKPHI-TRAM DM 23_Quang Hoa Xa Tong The lam hang ngay" xfId="85" xr:uid="{00000000-0005-0000-0000-000055000000}"/>
    <cellStyle name="_Bao cao nhu cau vat tu cap tinh chuan ok.xls-Lan 3" xfId="86" xr:uid="{00000000-0005-0000-0000-000056000000}"/>
    <cellStyle name="_Bao cao PTM hang ngay2" xfId="87" xr:uid="{00000000-0005-0000-0000-000057000000}"/>
    <cellStyle name="_Bao cao PTM ngay 7-16" xfId="88" xr:uid="{00000000-0005-0000-0000-000058000000}"/>
    <cellStyle name="_Baocao1034" xfId="89" xr:uid="{00000000-0005-0000-0000-000059000000}"/>
    <cellStyle name="_BAOCAOVUNG7 1" xfId="90" xr:uid="{00000000-0005-0000-0000-00005A000000}"/>
    <cellStyle name="_bbbbbbb" xfId="91" xr:uid="{00000000-0005-0000-0000-00005B000000}"/>
    <cellStyle name="_Bieu KH 2008" xfId="92" xr:uid="{00000000-0005-0000-0000-00005C000000}"/>
    <cellStyle name="_Book1" xfId="93" xr:uid="{00000000-0005-0000-0000-00005D000000}"/>
    <cellStyle name="_Book1_1" xfId="94" xr:uid="{00000000-0005-0000-0000-00005E000000}"/>
    <cellStyle name="_Book1_1_Book1" xfId="95" xr:uid="{00000000-0005-0000-0000-00005F000000}"/>
    <cellStyle name="_Book1_1_Du kien giai ngan cac du an den 30-6-16-OK" xfId="96" xr:uid="{00000000-0005-0000-0000-000060000000}"/>
    <cellStyle name="_Book1_111111111111111111111111111111111" xfId="97" xr:uid="{00000000-0005-0000-0000-000061000000}"/>
    <cellStyle name="_Book1_2" xfId="98" xr:uid="{00000000-0005-0000-0000-000062000000}"/>
    <cellStyle name="_Book1_9-7" xfId="99" xr:uid="{00000000-0005-0000-0000-000063000000}"/>
    <cellStyle name="_Book1_báo cáo doanh thu tháng 12" xfId="100" xr:uid="{00000000-0005-0000-0000-000064000000}"/>
    <cellStyle name="_Book1_BAO CAO Moi" xfId="101" xr:uid="{00000000-0005-0000-0000-000065000000}"/>
    <cellStyle name="_Book1_bao cao nhu cau BTS-CNKT tinh KV2" xfId="102" xr:uid="{00000000-0005-0000-0000-000066000000}"/>
    <cellStyle name="_Book1_Bao cao nhu cau vat tu cap tinh chuan ok.xls-Lan 3" xfId="103" xr:uid="{00000000-0005-0000-0000-000067000000}"/>
    <cellStyle name="_Book1_BAOCAOVUNG7 1" xfId="104" xr:uid="{00000000-0005-0000-0000-000068000000}"/>
    <cellStyle name="_Book1_BC Tong KV1 Binh" xfId="105" xr:uid="{00000000-0005-0000-0000-000069000000}"/>
    <cellStyle name="_Book1_BC-QT-WB-dthao" xfId="106" xr:uid="{00000000-0005-0000-0000-00006A000000}"/>
    <cellStyle name="_Book1_Book1" xfId="107" xr:uid="{00000000-0005-0000-0000-00006B000000}"/>
    <cellStyle name="_Book1_Book1_Book1" xfId="108" xr:uid="{00000000-0005-0000-0000-00006C000000}"/>
    <cellStyle name="_Book1_BTS" xfId="109" xr:uid="{00000000-0005-0000-0000-00006D000000}"/>
    <cellStyle name="_Book1_Du kien giai ngan cac du an den 30-6-16-OK" xfId="110" xr:uid="{00000000-0005-0000-0000-00006E000000}"/>
    <cellStyle name="_Book1_Du kien giai ngan cac du an den 30-6-16-OK_Book1" xfId="111" xr:uid="{00000000-0005-0000-0000-00006F000000}"/>
    <cellStyle name="_Book1_Gia du thau  Truong KT-KT(Chot) " xfId="112" xr:uid="{00000000-0005-0000-0000-000070000000}"/>
    <cellStyle name="_Book1_HC  QNM009(van dc1)" xfId="113" xr:uid="{00000000-0005-0000-0000-000071000000}"/>
    <cellStyle name="_Book1_KV2" xfId="117" xr:uid="{00000000-0005-0000-0000-000072000000}"/>
    <cellStyle name="_Book1_KH hoach keo quang thang 5" xfId="114" xr:uid="{00000000-0005-0000-0000-000073000000}"/>
    <cellStyle name="_Book1_KH phat song 30-06-2009 CNKT tinh KV2-BTS" xfId="115" xr:uid="{00000000-0005-0000-0000-000074000000}"/>
    <cellStyle name="_Book1_KH T6" xfId="116" xr:uid="{00000000-0005-0000-0000-000075000000}"/>
    <cellStyle name="_Book1_Mau 2" xfId="118" xr:uid="{00000000-0005-0000-0000-000076000000}"/>
    <cellStyle name="_Book1_MAU BAO CAO THANG MOI CHO ANH DUONG.xls-cu jut" xfId="119" xr:uid="{00000000-0005-0000-0000-000077000000}"/>
    <cellStyle name="_Book1_May thi cong Groz " xfId="120" xr:uid="{00000000-0005-0000-0000-000078000000}"/>
    <cellStyle name="_Book1_Pluc BTS KV2" xfId="122" xr:uid="{00000000-0005-0000-0000-000079000000}"/>
    <cellStyle name="_Book1_Phong HT Bao Cao" xfId="121" xr:uid="{00000000-0005-0000-0000-00007A000000}"/>
    <cellStyle name="_Book1_QH xa ok.xls" xfId="123" xr:uid="{00000000-0005-0000-0000-00007B000000}"/>
    <cellStyle name="_Book1_QHX" xfId="124" xr:uid="{00000000-0005-0000-0000-00007C000000}"/>
    <cellStyle name="_Book1_QHX Moi" xfId="125" xr:uid="{00000000-0005-0000-0000-00007D000000}"/>
    <cellStyle name="_Book1_Quang Hoa Xa Tong The lam hang ngay" xfId="126" xr:uid="{00000000-0005-0000-0000-00007E000000}"/>
    <cellStyle name="_Book1_tờ trinh-lan" xfId="128" xr:uid="{00000000-0005-0000-0000-00007F000000}"/>
    <cellStyle name="_Book1_TH  PTM hang ngay" xfId="127" xr:uid="{00000000-0005-0000-0000-000080000000}"/>
    <cellStyle name="_Book2" xfId="129" xr:uid="{00000000-0005-0000-0000-000081000000}"/>
    <cellStyle name="_BTS KV2" xfId="130" xr:uid="{00000000-0005-0000-0000-000082000000}"/>
    <cellStyle name="_BTS T4 va 5 kv2" xfId="131" xr:uid="{00000000-0005-0000-0000-000083000000}"/>
    <cellStyle name="_BTS T6 Binh" xfId="132" xr:uid="{00000000-0005-0000-0000-000084000000}"/>
    <cellStyle name="_BTS T6 Dung" xfId="133" xr:uid="{00000000-0005-0000-0000-000085000000}"/>
    <cellStyle name="_BTS T6 Hoan Chinh" xfId="134" xr:uid="{00000000-0005-0000-0000-000086000000}"/>
    <cellStyle name="_CAC TUYEN CAP QUANG" xfId="135" xr:uid="{00000000-0005-0000-0000-000087000000}"/>
    <cellStyle name="_Cac tuyen lam HD SONG BA (8.7)" xfId="136" xr:uid="{00000000-0005-0000-0000-000088000000}"/>
    <cellStyle name="_Cang Tinh Hoa " xfId="137" xr:uid="{00000000-0005-0000-0000-000089000000}"/>
    <cellStyle name="_Cau Phu Phuong" xfId="138" xr:uid="{00000000-0005-0000-0000-00008A000000}"/>
    <cellStyle name="_CP 6 thang dau nam 2007 moi" xfId="140" xr:uid="{00000000-0005-0000-0000-00008B000000}"/>
    <cellStyle name="_Chao gia ITPC2" xfId="139" xr:uid="{00000000-0005-0000-0000-00008C000000}"/>
    <cellStyle name="_DAKNONG" xfId="141" xr:uid="{00000000-0005-0000-0000-00008D000000}"/>
    <cellStyle name="_DS BTS THANG 5" xfId="142" xr:uid="{00000000-0005-0000-0000-00008E000000}"/>
    <cellStyle name="_DTDT BL-DL" xfId="143" xr:uid="{00000000-0005-0000-0000-00008F000000}"/>
    <cellStyle name="_DTDT BL-DL_thanh toan CND OK" xfId="144" xr:uid="{00000000-0005-0000-0000-000090000000}"/>
    <cellStyle name="_DTDT BL-DL_thanh toan Nhon Binh - AVAn" xfId="145" xr:uid="{00000000-0005-0000-0000-000091000000}"/>
    <cellStyle name="_DTDT BL-DL_ÿÿÿÿÿ" xfId="146" xr:uid="{00000000-0005-0000-0000-000092000000}"/>
    <cellStyle name="_x0001__Du kien giai ngan cac du an den 30-6-16-OK" xfId="147" xr:uid="{00000000-0005-0000-0000-000093000000}"/>
    <cellStyle name="_x0001__Du kien giai ngan cac du an den 30-6-16-OK 2" xfId="2827" xr:uid="{00000000-0005-0000-0000-000094000000}"/>
    <cellStyle name="_DU TOAN DIEN " xfId="148" xr:uid="{00000000-0005-0000-0000-000095000000}"/>
    <cellStyle name="_DU TOAN TRAM 220 KV" xfId="149" xr:uid="{00000000-0005-0000-0000-000096000000}"/>
    <cellStyle name="_FD743100" xfId="150" xr:uid="{00000000-0005-0000-0000-000097000000}"/>
    <cellStyle name="_Goi 1 A tham tra" xfId="159" xr:uid="{00000000-0005-0000-0000-000098000000}"/>
    <cellStyle name="_Goi 2- My Ly Ban trinh" xfId="160" xr:uid="{00000000-0005-0000-0000-000099000000}"/>
    <cellStyle name="_Goi5-PhuMy+P.Cat+Q.Nhon T.Toan+Q.toan" xfId="161" xr:uid="{00000000-0005-0000-0000-00009A000000}"/>
    <cellStyle name="_Goi5-PhuMy+P.Cat+Q.Nhon T.Toan+Q.toan_Book1" xfId="162" xr:uid="{00000000-0005-0000-0000-00009B000000}"/>
    <cellStyle name="_gui anh Tinh 22.5" xfId="163" xr:uid="{00000000-0005-0000-0000-00009C000000}"/>
    <cellStyle name="_gui anh Tinh 22.5_Book1" xfId="164" xr:uid="{00000000-0005-0000-0000-00009D000000}"/>
    <cellStyle name="_GIA CA MAY moi 2014" xfId="151" xr:uid="{00000000-0005-0000-0000-00009E000000}"/>
    <cellStyle name="_GIA CA MAY moi 2014_Book1" xfId="152" xr:uid="{00000000-0005-0000-0000-00009F000000}"/>
    <cellStyle name="_Gia+KLdieuchinhgoi1" xfId="153" xr:uid="{00000000-0005-0000-0000-0000A0000000}"/>
    <cellStyle name="_Gia+KLdieuchinhgoi1_Book1" xfId="154" xr:uid="{00000000-0005-0000-0000-0000A1000000}"/>
    <cellStyle name="_Gia+KLgoi2dieuchinh" xfId="155" xr:uid="{00000000-0005-0000-0000-0000A2000000}"/>
    <cellStyle name="_Gia+KLgoi2dieuchinh_Book1" xfId="156" xr:uid="{00000000-0005-0000-0000-0000A3000000}"/>
    <cellStyle name="_Giaduthau" xfId="157" xr:uid="{00000000-0005-0000-0000-0000A4000000}"/>
    <cellStyle name="_Giaduthau_Book1" xfId="158" xr:uid="{00000000-0005-0000-0000-0000A5000000}"/>
    <cellStyle name="_HiepDuc-TienPhuoc-BacTraMy-Thang Binh" xfId="165" xr:uid="{00000000-0005-0000-0000-0000A6000000}"/>
    <cellStyle name="_KT (2)" xfId="169" xr:uid="{00000000-0005-0000-0000-0000A7000000}"/>
    <cellStyle name="_KT (2)_1" xfId="170" xr:uid="{00000000-0005-0000-0000-0000A8000000}"/>
    <cellStyle name="_KT (2)_1_BangMTC" xfId="171" xr:uid="{00000000-0005-0000-0000-0000A9000000}"/>
    <cellStyle name="_KT (2)_1_BangNC" xfId="172" xr:uid="{00000000-0005-0000-0000-0000AA000000}"/>
    <cellStyle name="_KT (2)_1_Baocao1034" xfId="173" xr:uid="{00000000-0005-0000-0000-0000AB000000}"/>
    <cellStyle name="_KT (2)_1_Du kien giai ngan cac du an den 30-6-16-OK" xfId="174" xr:uid="{00000000-0005-0000-0000-0000AC000000}"/>
    <cellStyle name="_KT (2)_1_Lora-tungchau" xfId="175" xr:uid="{00000000-0005-0000-0000-0000AD000000}"/>
    <cellStyle name="_KT (2)_1_Lora-tungchau_Du kien giai ngan cac du an den 30-6-16-OK" xfId="176" xr:uid="{00000000-0005-0000-0000-0000AE000000}"/>
    <cellStyle name="_KT (2)_1_Qt-HT3PQ1(CauKho)" xfId="177" xr:uid="{00000000-0005-0000-0000-0000AF000000}"/>
    <cellStyle name="_KT (2)_1_Qt-HT3PQ1(CauKho)_Du kien giai ngan cac du an den 30-6-16-OK" xfId="178" xr:uid="{00000000-0005-0000-0000-0000B0000000}"/>
    <cellStyle name="_KT (2)_1_Qt-HT3PQ1(CauKho)_thanh toan CND OK" xfId="179" xr:uid="{00000000-0005-0000-0000-0000B1000000}"/>
    <cellStyle name="_KT (2)_1_Qt-HT3PQ1(CauKho)_thanh toan Nhon Binh - AVAn" xfId="180" xr:uid="{00000000-0005-0000-0000-0000B2000000}"/>
    <cellStyle name="_KT (2)_1_Qt-HT3PQ1(CauKho)_ÿÿÿÿÿ" xfId="181" xr:uid="{00000000-0005-0000-0000-0000B3000000}"/>
    <cellStyle name="_KT (2)_1_Qt-HT3PQ1(CauKho)_ÿÿÿÿÿ 2" xfId="2828" xr:uid="{00000000-0005-0000-0000-0000B4000000}"/>
    <cellStyle name="_KT (2)_1_tuyenqlo24" xfId="182" xr:uid="{00000000-0005-0000-0000-0000B5000000}"/>
    <cellStyle name="_KT (2)_2" xfId="183" xr:uid="{00000000-0005-0000-0000-0000B6000000}"/>
    <cellStyle name="_KT (2)_2_TG-TH" xfId="184" xr:uid="{00000000-0005-0000-0000-0000B7000000}"/>
    <cellStyle name="_KT (2)_2_TG-TH_BangMTC" xfId="185" xr:uid="{00000000-0005-0000-0000-0000B8000000}"/>
    <cellStyle name="_KT (2)_2_TG-TH_BangNC" xfId="186" xr:uid="{00000000-0005-0000-0000-0000B9000000}"/>
    <cellStyle name="_KT (2)_2_TG-TH_BAO CAO KLCT PT2000" xfId="187" xr:uid="{00000000-0005-0000-0000-0000BA000000}"/>
    <cellStyle name="_KT (2)_2_TG-TH_BAO CAO PT2000" xfId="188" xr:uid="{00000000-0005-0000-0000-0000BB000000}"/>
    <cellStyle name="_KT (2)_2_TG-TH_BAO CAO PT2000_Book1" xfId="189" xr:uid="{00000000-0005-0000-0000-0000BC000000}"/>
    <cellStyle name="_KT (2)_2_TG-TH_Bao cao XDCB 2001 - T11 KH dieu chinh 20-11-THAI" xfId="190" xr:uid="{00000000-0005-0000-0000-0000BD000000}"/>
    <cellStyle name="_KT (2)_2_TG-TH_Baocao1034" xfId="191" xr:uid="{00000000-0005-0000-0000-0000BE000000}"/>
    <cellStyle name="_KT (2)_2_TG-TH_Book1" xfId="192" xr:uid="{00000000-0005-0000-0000-0000BF000000}"/>
    <cellStyle name="_KT (2)_2_TG-TH_Book1_1" xfId="193" xr:uid="{00000000-0005-0000-0000-0000C0000000}"/>
    <cellStyle name="_KT (2)_2_TG-TH_Book1_2" xfId="194" xr:uid="{00000000-0005-0000-0000-0000C1000000}"/>
    <cellStyle name="_KT (2)_2_TG-TH_Book1_3" xfId="195" xr:uid="{00000000-0005-0000-0000-0000C2000000}"/>
    <cellStyle name="_KT (2)_2_TG-TH_Book1_3_Gia du thau  Truong KT-KT(Chot) " xfId="196" xr:uid="{00000000-0005-0000-0000-0000C3000000}"/>
    <cellStyle name="_KT (2)_2_TG-TH_Book1_3_May thi cong Groz " xfId="197" xr:uid="{00000000-0005-0000-0000-0000C4000000}"/>
    <cellStyle name="_KT (2)_2_TG-TH_Book1_4" xfId="198" xr:uid="{00000000-0005-0000-0000-0000C5000000}"/>
    <cellStyle name="_KT (2)_2_TG-TH_Book1_5" xfId="199" xr:uid="{00000000-0005-0000-0000-0000C6000000}"/>
    <cellStyle name="_KT (2)_2_TG-TH_Book1_Book1" xfId="200" xr:uid="{00000000-0005-0000-0000-0000C7000000}"/>
    <cellStyle name="_KT (2)_2_TG-TH_Book1_Book1_Gia du thau  Truong KT-KT(Chot) " xfId="201" xr:uid="{00000000-0005-0000-0000-0000C8000000}"/>
    <cellStyle name="_KT (2)_2_TG-TH_Book1_Book1_Gia du thau  Truong KT-KT(Chot) _Book1" xfId="202" xr:uid="{00000000-0005-0000-0000-0000C9000000}"/>
    <cellStyle name="_KT (2)_2_TG-TH_Book1_Book1_May thi cong Groz " xfId="203" xr:uid="{00000000-0005-0000-0000-0000CA000000}"/>
    <cellStyle name="_KT (2)_2_TG-TH_Book1_Book1_May thi cong Groz _Book1" xfId="204" xr:uid="{00000000-0005-0000-0000-0000CB000000}"/>
    <cellStyle name="_KT (2)_2_TG-TH_Book1_Du kien giai ngan cac du an den 30-6-16-OK" xfId="205" xr:uid="{00000000-0005-0000-0000-0000CC000000}"/>
    <cellStyle name="_KT (2)_2_TG-TH_Book1_Gia du thau  Truong KT-KT(Chot) " xfId="206" xr:uid="{00000000-0005-0000-0000-0000CD000000}"/>
    <cellStyle name="_KT (2)_2_TG-TH_Book1_May thi cong Groz " xfId="207" xr:uid="{00000000-0005-0000-0000-0000CE000000}"/>
    <cellStyle name="_KT (2)_2_TG-TH_Can Don moi da xong anh thuat" xfId="208" xr:uid="{00000000-0005-0000-0000-0000CF000000}"/>
    <cellStyle name="_KT (2)_2_TG-TH_DAU NOI PL-CL TAI PHU LAMHC" xfId="209" xr:uid="{00000000-0005-0000-0000-0000D0000000}"/>
    <cellStyle name="_KT (2)_2_TG-TH_DAU NOI PL-CL TAI PHU LAMHC 2" xfId="2829" xr:uid="{00000000-0005-0000-0000-0000D1000000}"/>
    <cellStyle name="_KT (2)_2_TG-TH_DAU NOI PL-CL TAI PHU LAMHC_thanh toan CND OK" xfId="210" xr:uid="{00000000-0005-0000-0000-0000D2000000}"/>
    <cellStyle name="_KT (2)_2_TG-TH_DAU NOI PL-CL TAI PHU LAMHC_thanh toan CND OK 2" xfId="2830" xr:uid="{00000000-0005-0000-0000-0000D3000000}"/>
    <cellStyle name="_KT (2)_2_TG-TH_DAU NOI PL-CL TAI PHU LAMHC_thanh toan Nhon Binh - AVAn" xfId="211" xr:uid="{00000000-0005-0000-0000-0000D4000000}"/>
    <cellStyle name="_KT (2)_2_TG-TH_Dcdtoan-bcnckt " xfId="212" xr:uid="{00000000-0005-0000-0000-0000D5000000}"/>
    <cellStyle name="_KT (2)_2_TG-TH_don gia KSat avuong" xfId="213" xr:uid="{00000000-0005-0000-0000-0000D6000000}"/>
    <cellStyle name="_KT (2)_2_TG-TH_DT Dieu chinh A.Lan" xfId="214" xr:uid="{00000000-0005-0000-0000-0000D7000000}"/>
    <cellStyle name="_KT (2)_2_TG-TH_DTCDT MR.2N110.HOCMON.TDTOAN.CCUNG" xfId="215" xr:uid="{00000000-0005-0000-0000-0000D8000000}"/>
    <cellStyle name="_KT (2)_2_TG-TH_Du kien giai ngan cac du an den 30-6-16-OK" xfId="216" xr:uid="{00000000-0005-0000-0000-0000D9000000}"/>
    <cellStyle name="_KT (2)_2_TG-TH_Du kien giai ngan cac du an den 30-6-16-OK 2" xfId="2831" xr:uid="{00000000-0005-0000-0000-0000DA000000}"/>
    <cellStyle name="_KT (2)_2_TG-TH_Goi5-PhuMy+P.Cat+Q.Nhon T.Toan+Q.toan" xfId="218" xr:uid="{00000000-0005-0000-0000-0000DB000000}"/>
    <cellStyle name="_KT (2)_2_TG-TH_Giaduthau" xfId="217" xr:uid="{00000000-0005-0000-0000-0000DC000000}"/>
    <cellStyle name="_KT (2)_2_TG-TH_Lora-tungchau" xfId="219" xr:uid="{00000000-0005-0000-0000-0000DD000000}"/>
    <cellStyle name="_KT (2)_2_TG-TH_Lora-tungchau_Du kien giai ngan cac du an den 30-6-16-OK" xfId="220" xr:uid="{00000000-0005-0000-0000-0000DE000000}"/>
    <cellStyle name="_KT (2)_2_TG-TH_Lora-tungchau_Du kien giai ngan cac du an den 30-6-16-OK 2" xfId="2832" xr:uid="{00000000-0005-0000-0000-0000DF000000}"/>
    <cellStyle name="_KT (2)_2_TG-TH_Lora-tungchau_thanh toan CND OK" xfId="221" xr:uid="{00000000-0005-0000-0000-0000E0000000}"/>
    <cellStyle name="_KT (2)_2_TG-TH_Lora-tungchau_thanh toan CND OK 2" xfId="2833" xr:uid="{00000000-0005-0000-0000-0000E1000000}"/>
    <cellStyle name="_KT (2)_2_TG-TH_Lora-tungchau_thanh toan Nhon Binh - AVAn" xfId="222" xr:uid="{00000000-0005-0000-0000-0000E2000000}"/>
    <cellStyle name="_KT (2)_2_TG-TH_PGIA-phieu tham tra Kho bac" xfId="223" xr:uid="{00000000-0005-0000-0000-0000E3000000}"/>
    <cellStyle name="_KT (2)_2_TG-TH_PT02-02" xfId="224" xr:uid="{00000000-0005-0000-0000-0000E4000000}"/>
    <cellStyle name="_KT (2)_2_TG-TH_PT02-02_Book1" xfId="225" xr:uid="{00000000-0005-0000-0000-0000E5000000}"/>
    <cellStyle name="_KT (2)_2_TG-TH_PT02-03" xfId="226" xr:uid="{00000000-0005-0000-0000-0000E6000000}"/>
    <cellStyle name="_KT (2)_2_TG-TH_PT02-03_Book1" xfId="227" xr:uid="{00000000-0005-0000-0000-0000E7000000}"/>
    <cellStyle name="_KT (2)_2_TG-TH_PTT thong tin" xfId="228" xr:uid="{00000000-0005-0000-0000-0000E8000000}"/>
    <cellStyle name="_KT (2)_2_TG-TH_Qt-HT3PQ1(CauKho)" xfId="229" xr:uid="{00000000-0005-0000-0000-0000E9000000}"/>
    <cellStyle name="_KT (2)_2_TG-TH_Qt-HT3PQ1(CauKho)_Du kien giai ngan cac du an den 30-6-16-OK" xfId="230" xr:uid="{00000000-0005-0000-0000-0000EA000000}"/>
    <cellStyle name="_KT (2)_2_TG-TH_Qt-HT3PQ1(CauKho)_thanh toan CND OK" xfId="231" xr:uid="{00000000-0005-0000-0000-0000EB000000}"/>
    <cellStyle name="_KT (2)_2_TG-TH_Qt-HT3PQ1(CauKho)_thanh toan Nhon Binh - AVAn" xfId="232" xr:uid="{00000000-0005-0000-0000-0000EC000000}"/>
    <cellStyle name="_KT (2)_2_TG-TH_Qt-HT3PQ1(CauKho)_ÿÿÿÿÿ" xfId="233" xr:uid="{00000000-0005-0000-0000-0000ED000000}"/>
    <cellStyle name="_KT (2)_2_TG-TH_QT-LCTP-AE" xfId="234" xr:uid="{00000000-0005-0000-0000-0000EE000000}"/>
    <cellStyle name="_KT (2)_2_TG-TH_QT-LONG MY tong-chinh thuc" xfId="235" xr:uid="{00000000-0005-0000-0000-0000EF000000}"/>
    <cellStyle name="_KT (2)_2_TG-TH_tuyenqlo24" xfId="238" xr:uid="{00000000-0005-0000-0000-0000F0000000}"/>
    <cellStyle name="_KT (2)_2_TG-TH_tuyenqlo24_Book1" xfId="239" xr:uid="{00000000-0005-0000-0000-0000F1000000}"/>
    <cellStyle name="_KT (2)_2_TG-TH_thanh toan CND OK" xfId="236" xr:uid="{00000000-0005-0000-0000-0000F2000000}"/>
    <cellStyle name="_KT (2)_2_TG-TH_thanh toan CND OK 2" xfId="2834" xr:uid="{00000000-0005-0000-0000-0000F3000000}"/>
    <cellStyle name="_KT (2)_2_TG-TH_thanh toan Nhon Binh - AVAn" xfId="237" xr:uid="{00000000-0005-0000-0000-0000F4000000}"/>
    <cellStyle name="_KT (2)_3" xfId="240" xr:uid="{00000000-0005-0000-0000-0000F5000000}"/>
    <cellStyle name="_KT (2)_3_TG-TH" xfId="241" xr:uid="{00000000-0005-0000-0000-0000F6000000}"/>
    <cellStyle name="_KT (2)_3_TG-TH_BangMTC" xfId="242" xr:uid="{00000000-0005-0000-0000-0000F7000000}"/>
    <cellStyle name="_KT (2)_3_TG-TH_BangNC" xfId="243" xr:uid="{00000000-0005-0000-0000-0000F8000000}"/>
    <cellStyle name="_KT (2)_3_TG-TH_Baocao1034" xfId="244" xr:uid="{00000000-0005-0000-0000-0000F9000000}"/>
    <cellStyle name="_KT (2)_3_TG-TH_Book1" xfId="245" xr:uid="{00000000-0005-0000-0000-0000FA000000}"/>
    <cellStyle name="_KT (2)_3_TG-TH_Book1_BC-QT-WB-dthao" xfId="246" xr:uid="{00000000-0005-0000-0000-0000FB000000}"/>
    <cellStyle name="_KT (2)_3_TG-TH_Book1_Du kien giai ngan cac du an den 30-6-16-OK" xfId="247" xr:uid="{00000000-0005-0000-0000-0000FC000000}"/>
    <cellStyle name="_KT (2)_3_TG-TH_don gia KSat avuong" xfId="248" xr:uid="{00000000-0005-0000-0000-0000FD000000}"/>
    <cellStyle name="_KT (2)_3_TG-TH_DT Dieu chinh A.Lan" xfId="249" xr:uid="{00000000-0005-0000-0000-0000FE000000}"/>
    <cellStyle name="_KT (2)_3_TG-TH_Du kien giai ngan cac du an den 30-6-16-OK" xfId="250" xr:uid="{00000000-0005-0000-0000-0000FF000000}"/>
    <cellStyle name="_KT (2)_3_TG-TH_Goi5-PhuMy+P.Cat+Q.Nhon T.Toan+Q.toan" xfId="252" xr:uid="{00000000-0005-0000-0000-000000010000}"/>
    <cellStyle name="_KT (2)_3_TG-TH_Giaduthau" xfId="251" xr:uid="{00000000-0005-0000-0000-000001010000}"/>
    <cellStyle name="_KT (2)_3_TG-TH_Lora-tungchau" xfId="253" xr:uid="{00000000-0005-0000-0000-000002010000}"/>
    <cellStyle name="_KT (2)_3_TG-TH_Lora-tungchau_Du kien giai ngan cac du an den 30-6-16-OK" xfId="254" xr:uid="{00000000-0005-0000-0000-000003010000}"/>
    <cellStyle name="_KT (2)_3_TG-TH_Lora-tungchau_thanh toan CND OK" xfId="255" xr:uid="{00000000-0005-0000-0000-000004010000}"/>
    <cellStyle name="_KT (2)_3_TG-TH_Lora-tungchau_thanh toan Nhon Binh - AVAn" xfId="256" xr:uid="{00000000-0005-0000-0000-000005010000}"/>
    <cellStyle name="_KT (2)_3_TG-TH_Lora-tungchau_ÿÿÿÿÿ" xfId="257" xr:uid="{00000000-0005-0000-0000-000006010000}"/>
    <cellStyle name="_KT (2)_3_TG-TH_PERSONAL" xfId="258" xr:uid="{00000000-0005-0000-0000-000007010000}"/>
    <cellStyle name="_KT (2)_3_TG-TH_PERSONAL_Book1" xfId="259" xr:uid="{00000000-0005-0000-0000-000008010000}"/>
    <cellStyle name="_KT (2)_3_TG-TH_PERSONAL_Book1_Du kien giai ngan cac du an den 30-6-16-OK" xfId="260" xr:uid="{00000000-0005-0000-0000-000009010000}"/>
    <cellStyle name="_KT (2)_3_TG-TH_PERSONAL_Du kien giai ngan cac du an den 30-6-16-OK" xfId="261" xr:uid="{00000000-0005-0000-0000-00000A010000}"/>
    <cellStyle name="_KT (2)_3_TG-TH_PERSONAL_Gia du thau  Truong KT-KT(Chot) " xfId="262" xr:uid="{00000000-0005-0000-0000-00000B010000}"/>
    <cellStyle name="_KT (2)_3_TG-TH_PERSONAL_HTQ.8 GD1" xfId="263" xr:uid="{00000000-0005-0000-0000-00000C010000}"/>
    <cellStyle name="_KT (2)_3_TG-TH_PERSONAL_May thi cong Groz " xfId="264" xr:uid="{00000000-0005-0000-0000-00000D010000}"/>
    <cellStyle name="_KT (2)_3_TG-TH_PERSONAL_Tong hop KHCB 2001" xfId="265" xr:uid="{00000000-0005-0000-0000-00000E010000}"/>
    <cellStyle name="_KT (2)_3_TG-TH_PTT thong tin" xfId="266" xr:uid="{00000000-0005-0000-0000-00000F010000}"/>
    <cellStyle name="_KT (2)_3_TG-TH_Qt-HT3PQ1(CauKho)" xfId="267" xr:uid="{00000000-0005-0000-0000-000010010000}"/>
    <cellStyle name="_KT (2)_3_TG-TH_Qt-HT3PQ1(CauKho)_Du kien giai ngan cac du an den 30-6-16-OK" xfId="268" xr:uid="{00000000-0005-0000-0000-000011010000}"/>
    <cellStyle name="_KT (2)_3_TG-TH_Qt-HT3PQ1(CauKho)_thanh toan CND OK" xfId="269" xr:uid="{00000000-0005-0000-0000-000012010000}"/>
    <cellStyle name="_KT (2)_3_TG-TH_Qt-HT3PQ1(CauKho)_thanh toan Nhon Binh - AVAn" xfId="270" xr:uid="{00000000-0005-0000-0000-000013010000}"/>
    <cellStyle name="_KT (2)_3_TG-TH_Qt-HT3PQ1(CauKho)_ÿÿÿÿÿ" xfId="271" xr:uid="{00000000-0005-0000-0000-000014010000}"/>
    <cellStyle name="_KT (2)_3_TG-TH_QT-LCTP-AE" xfId="272" xr:uid="{00000000-0005-0000-0000-000015010000}"/>
    <cellStyle name="_KT (2)_3_TG-TH_QT-LONG MY tong-chinh thuc" xfId="273" xr:uid="{00000000-0005-0000-0000-000016010000}"/>
    <cellStyle name="_KT (2)_3_TG-TH_tuyenqlo24" xfId="276" xr:uid="{00000000-0005-0000-0000-000017010000}"/>
    <cellStyle name="_KT (2)_3_TG-TH_thanh toan CND OK" xfId="274" xr:uid="{00000000-0005-0000-0000-000018010000}"/>
    <cellStyle name="_KT (2)_3_TG-TH_thanh toan Nhon Binh - AVAn" xfId="275" xr:uid="{00000000-0005-0000-0000-000019010000}"/>
    <cellStyle name="_KT (2)_3_TG-TH_ÿÿÿÿÿ" xfId="277" xr:uid="{00000000-0005-0000-0000-00001A010000}"/>
    <cellStyle name="_KT (2)_4" xfId="278" xr:uid="{00000000-0005-0000-0000-00001B010000}"/>
    <cellStyle name="_KT (2)_4_BangMTC" xfId="279" xr:uid="{00000000-0005-0000-0000-00001C010000}"/>
    <cellStyle name="_KT (2)_4_BangNC" xfId="280" xr:uid="{00000000-0005-0000-0000-00001D010000}"/>
    <cellStyle name="_KT (2)_4_BAO CAO KLCT PT2000" xfId="281" xr:uid="{00000000-0005-0000-0000-00001E010000}"/>
    <cellStyle name="_KT (2)_4_BAO CAO PT2000" xfId="282" xr:uid="{00000000-0005-0000-0000-00001F010000}"/>
    <cellStyle name="_KT (2)_4_BAO CAO PT2000_Book1" xfId="283" xr:uid="{00000000-0005-0000-0000-000020010000}"/>
    <cellStyle name="_KT (2)_4_Bao cao XDCB 2001 - T11 KH dieu chinh 20-11-THAI" xfId="284" xr:uid="{00000000-0005-0000-0000-000021010000}"/>
    <cellStyle name="_KT (2)_4_Baocao1034" xfId="285" xr:uid="{00000000-0005-0000-0000-000022010000}"/>
    <cellStyle name="_KT (2)_4_Book1" xfId="286" xr:uid="{00000000-0005-0000-0000-000023010000}"/>
    <cellStyle name="_KT (2)_4_Book1_1" xfId="287" xr:uid="{00000000-0005-0000-0000-000024010000}"/>
    <cellStyle name="_KT (2)_4_Book1_2" xfId="288" xr:uid="{00000000-0005-0000-0000-000025010000}"/>
    <cellStyle name="_KT (2)_4_Book1_3" xfId="289" xr:uid="{00000000-0005-0000-0000-000026010000}"/>
    <cellStyle name="_KT (2)_4_Book1_3_Gia du thau  Truong KT-KT(Chot) " xfId="290" xr:uid="{00000000-0005-0000-0000-000027010000}"/>
    <cellStyle name="_KT (2)_4_Book1_3_May thi cong Groz " xfId="291" xr:uid="{00000000-0005-0000-0000-000028010000}"/>
    <cellStyle name="_KT (2)_4_Book1_4" xfId="292" xr:uid="{00000000-0005-0000-0000-000029010000}"/>
    <cellStyle name="_KT (2)_4_Book1_5" xfId="293" xr:uid="{00000000-0005-0000-0000-00002A010000}"/>
    <cellStyle name="_KT (2)_4_Book1_Book1" xfId="294" xr:uid="{00000000-0005-0000-0000-00002B010000}"/>
    <cellStyle name="_KT (2)_4_Book1_Book1_Gia du thau  Truong KT-KT(Chot) " xfId="295" xr:uid="{00000000-0005-0000-0000-00002C010000}"/>
    <cellStyle name="_KT (2)_4_Book1_Book1_Gia du thau  Truong KT-KT(Chot) _Book1" xfId="296" xr:uid="{00000000-0005-0000-0000-00002D010000}"/>
    <cellStyle name="_KT (2)_4_Book1_Book1_May thi cong Groz " xfId="297" xr:uid="{00000000-0005-0000-0000-00002E010000}"/>
    <cellStyle name="_KT (2)_4_Book1_Book1_May thi cong Groz _Book1" xfId="298" xr:uid="{00000000-0005-0000-0000-00002F010000}"/>
    <cellStyle name="_KT (2)_4_Book1_Du kien giai ngan cac du an den 30-6-16-OK" xfId="299" xr:uid="{00000000-0005-0000-0000-000030010000}"/>
    <cellStyle name="_KT (2)_4_Book1_Gia du thau  Truong KT-KT(Chot) " xfId="300" xr:uid="{00000000-0005-0000-0000-000031010000}"/>
    <cellStyle name="_KT (2)_4_Book1_May thi cong Groz " xfId="301" xr:uid="{00000000-0005-0000-0000-000032010000}"/>
    <cellStyle name="_KT (2)_4_Can Don moi da xong anh thuat" xfId="302" xr:uid="{00000000-0005-0000-0000-000033010000}"/>
    <cellStyle name="_KT (2)_4_DAU NOI PL-CL TAI PHU LAMHC" xfId="303" xr:uid="{00000000-0005-0000-0000-000034010000}"/>
    <cellStyle name="_KT (2)_4_DAU NOI PL-CL TAI PHU LAMHC 2" xfId="2835" xr:uid="{00000000-0005-0000-0000-000035010000}"/>
    <cellStyle name="_KT (2)_4_DAU NOI PL-CL TAI PHU LAMHC_thanh toan CND OK" xfId="304" xr:uid="{00000000-0005-0000-0000-000036010000}"/>
    <cellStyle name="_KT (2)_4_DAU NOI PL-CL TAI PHU LAMHC_thanh toan CND OK 2" xfId="2836" xr:uid="{00000000-0005-0000-0000-000037010000}"/>
    <cellStyle name="_KT (2)_4_DAU NOI PL-CL TAI PHU LAMHC_thanh toan Nhon Binh - AVAn" xfId="305" xr:uid="{00000000-0005-0000-0000-000038010000}"/>
    <cellStyle name="_KT (2)_4_Dcdtoan-bcnckt " xfId="306" xr:uid="{00000000-0005-0000-0000-000039010000}"/>
    <cellStyle name="_KT (2)_4_don gia KSat avuong" xfId="307" xr:uid="{00000000-0005-0000-0000-00003A010000}"/>
    <cellStyle name="_KT (2)_4_DT Dieu chinh A.Lan" xfId="308" xr:uid="{00000000-0005-0000-0000-00003B010000}"/>
    <cellStyle name="_KT (2)_4_DTCDT MR.2N110.HOCMON.TDTOAN.CCUNG" xfId="309" xr:uid="{00000000-0005-0000-0000-00003C010000}"/>
    <cellStyle name="_KT (2)_4_Du kien giai ngan cac du an den 30-6-16-OK" xfId="310" xr:uid="{00000000-0005-0000-0000-00003D010000}"/>
    <cellStyle name="_KT (2)_4_Du kien giai ngan cac du an den 30-6-16-OK 2" xfId="2837" xr:uid="{00000000-0005-0000-0000-00003E010000}"/>
    <cellStyle name="_KT (2)_4_Goi5-PhuMy+P.Cat+Q.Nhon T.Toan+Q.toan" xfId="312" xr:uid="{00000000-0005-0000-0000-00003F010000}"/>
    <cellStyle name="_KT (2)_4_Giaduthau" xfId="311" xr:uid="{00000000-0005-0000-0000-000040010000}"/>
    <cellStyle name="_KT (2)_4_Lora-tungchau" xfId="313" xr:uid="{00000000-0005-0000-0000-000041010000}"/>
    <cellStyle name="_KT (2)_4_Lora-tungchau_Du kien giai ngan cac du an den 30-6-16-OK" xfId="314" xr:uid="{00000000-0005-0000-0000-000042010000}"/>
    <cellStyle name="_KT (2)_4_Lora-tungchau_Du kien giai ngan cac du an den 30-6-16-OK 2" xfId="2838" xr:uid="{00000000-0005-0000-0000-000043010000}"/>
    <cellStyle name="_KT (2)_4_Lora-tungchau_thanh toan CND OK" xfId="315" xr:uid="{00000000-0005-0000-0000-000044010000}"/>
    <cellStyle name="_KT (2)_4_Lora-tungchau_thanh toan CND OK 2" xfId="2839" xr:uid="{00000000-0005-0000-0000-000045010000}"/>
    <cellStyle name="_KT (2)_4_Lora-tungchau_thanh toan Nhon Binh - AVAn" xfId="316" xr:uid="{00000000-0005-0000-0000-000046010000}"/>
    <cellStyle name="_KT (2)_4_PGIA-phieu tham tra Kho bac" xfId="317" xr:uid="{00000000-0005-0000-0000-000047010000}"/>
    <cellStyle name="_KT (2)_4_PT02-02" xfId="318" xr:uid="{00000000-0005-0000-0000-000048010000}"/>
    <cellStyle name="_KT (2)_4_PT02-02_Book1" xfId="319" xr:uid="{00000000-0005-0000-0000-000049010000}"/>
    <cellStyle name="_KT (2)_4_PT02-03" xfId="320" xr:uid="{00000000-0005-0000-0000-00004A010000}"/>
    <cellStyle name="_KT (2)_4_PT02-03_Book1" xfId="321" xr:uid="{00000000-0005-0000-0000-00004B010000}"/>
    <cellStyle name="_KT (2)_4_PTT thong tin" xfId="322" xr:uid="{00000000-0005-0000-0000-00004C010000}"/>
    <cellStyle name="_KT (2)_4_Qt-HT3PQ1(CauKho)" xfId="323" xr:uid="{00000000-0005-0000-0000-00004D010000}"/>
    <cellStyle name="_KT (2)_4_Qt-HT3PQ1(CauKho)_Du kien giai ngan cac du an den 30-6-16-OK" xfId="324" xr:uid="{00000000-0005-0000-0000-00004E010000}"/>
    <cellStyle name="_KT (2)_4_Qt-HT3PQ1(CauKho)_thanh toan CND OK" xfId="325" xr:uid="{00000000-0005-0000-0000-00004F010000}"/>
    <cellStyle name="_KT (2)_4_Qt-HT3PQ1(CauKho)_thanh toan Nhon Binh - AVAn" xfId="326" xr:uid="{00000000-0005-0000-0000-000050010000}"/>
    <cellStyle name="_KT (2)_4_Qt-HT3PQ1(CauKho)_ÿÿÿÿÿ" xfId="327" xr:uid="{00000000-0005-0000-0000-000051010000}"/>
    <cellStyle name="_KT (2)_4_QT-LCTP-AE" xfId="328" xr:uid="{00000000-0005-0000-0000-000052010000}"/>
    <cellStyle name="_KT (2)_4_QT-LONG MY tong-chinh thuc" xfId="329" xr:uid="{00000000-0005-0000-0000-000053010000}"/>
    <cellStyle name="_KT (2)_4_TG-TH" xfId="330" xr:uid="{00000000-0005-0000-0000-000054010000}"/>
    <cellStyle name="_KT (2)_4_tuyenqlo24" xfId="333" xr:uid="{00000000-0005-0000-0000-000055010000}"/>
    <cellStyle name="_KT (2)_4_tuyenqlo24_Book1" xfId="334" xr:uid="{00000000-0005-0000-0000-000056010000}"/>
    <cellStyle name="_KT (2)_4_thanh toan CND OK" xfId="331" xr:uid="{00000000-0005-0000-0000-000057010000}"/>
    <cellStyle name="_KT (2)_4_thanh toan CND OK 2" xfId="2840" xr:uid="{00000000-0005-0000-0000-000058010000}"/>
    <cellStyle name="_KT (2)_4_thanh toan Nhon Binh - AVAn" xfId="332" xr:uid="{00000000-0005-0000-0000-000059010000}"/>
    <cellStyle name="_KT (2)_5" xfId="335" xr:uid="{00000000-0005-0000-0000-00005A010000}"/>
    <cellStyle name="_KT (2)_5_BangMTC" xfId="336" xr:uid="{00000000-0005-0000-0000-00005B010000}"/>
    <cellStyle name="_KT (2)_5_BangNC" xfId="337" xr:uid="{00000000-0005-0000-0000-00005C010000}"/>
    <cellStyle name="_KT (2)_5_BAO CAO KLCT PT2000" xfId="338" xr:uid="{00000000-0005-0000-0000-00005D010000}"/>
    <cellStyle name="_KT (2)_5_BAO CAO PT2000" xfId="339" xr:uid="{00000000-0005-0000-0000-00005E010000}"/>
    <cellStyle name="_KT (2)_5_BAO CAO PT2000_Book1" xfId="340" xr:uid="{00000000-0005-0000-0000-00005F010000}"/>
    <cellStyle name="_KT (2)_5_Bao cao XDCB 2001 - T11 KH dieu chinh 20-11-THAI" xfId="341" xr:uid="{00000000-0005-0000-0000-000060010000}"/>
    <cellStyle name="_KT (2)_5_Baocao1034" xfId="342" xr:uid="{00000000-0005-0000-0000-000061010000}"/>
    <cellStyle name="_KT (2)_5_Book1" xfId="343" xr:uid="{00000000-0005-0000-0000-000062010000}"/>
    <cellStyle name="_KT (2)_5_Book1_1" xfId="344" xr:uid="{00000000-0005-0000-0000-000063010000}"/>
    <cellStyle name="_KT (2)_5_Book1_2" xfId="345" xr:uid="{00000000-0005-0000-0000-000064010000}"/>
    <cellStyle name="_KT (2)_5_Book1_3" xfId="346" xr:uid="{00000000-0005-0000-0000-000065010000}"/>
    <cellStyle name="_KT (2)_5_Book1_3_Gia du thau  Truong KT-KT(Chot) " xfId="347" xr:uid="{00000000-0005-0000-0000-000066010000}"/>
    <cellStyle name="_KT (2)_5_Book1_3_May thi cong Groz " xfId="348" xr:uid="{00000000-0005-0000-0000-000067010000}"/>
    <cellStyle name="_KT (2)_5_Book1_4" xfId="349" xr:uid="{00000000-0005-0000-0000-000068010000}"/>
    <cellStyle name="_KT (2)_5_Book1_BC-QT-WB-dthao" xfId="350" xr:uid="{00000000-0005-0000-0000-000069010000}"/>
    <cellStyle name="_KT (2)_5_Book1_Book1" xfId="351" xr:uid="{00000000-0005-0000-0000-00006A010000}"/>
    <cellStyle name="_KT (2)_5_Book1_Book1_Gia du thau  Truong KT-KT(Chot) " xfId="352" xr:uid="{00000000-0005-0000-0000-00006B010000}"/>
    <cellStyle name="_KT (2)_5_Book1_Book1_Gia du thau  Truong KT-KT(Chot) _Book1" xfId="353" xr:uid="{00000000-0005-0000-0000-00006C010000}"/>
    <cellStyle name="_KT (2)_5_Book1_Book1_May thi cong Groz " xfId="354" xr:uid="{00000000-0005-0000-0000-00006D010000}"/>
    <cellStyle name="_KT (2)_5_Book1_Book1_May thi cong Groz _Book1" xfId="355" xr:uid="{00000000-0005-0000-0000-00006E010000}"/>
    <cellStyle name="_KT (2)_5_Book1_Du kien giai ngan cac du an den 30-6-16-OK" xfId="356" xr:uid="{00000000-0005-0000-0000-00006F010000}"/>
    <cellStyle name="_KT (2)_5_Book1_Gia du thau  Truong KT-KT(Chot) " xfId="357" xr:uid="{00000000-0005-0000-0000-000070010000}"/>
    <cellStyle name="_KT (2)_5_Book1_May thi cong Groz " xfId="358" xr:uid="{00000000-0005-0000-0000-000071010000}"/>
    <cellStyle name="_KT (2)_5_Can Don moi da xong anh thuat" xfId="359" xr:uid="{00000000-0005-0000-0000-000072010000}"/>
    <cellStyle name="_KT (2)_5_DAU NOI PL-CL TAI PHU LAMHC" xfId="360" xr:uid="{00000000-0005-0000-0000-000073010000}"/>
    <cellStyle name="_KT (2)_5_DAU NOI PL-CL TAI PHU LAMHC 2" xfId="2841" xr:uid="{00000000-0005-0000-0000-000074010000}"/>
    <cellStyle name="_KT (2)_5_DAU NOI PL-CL TAI PHU LAMHC_thanh toan CND OK" xfId="361" xr:uid="{00000000-0005-0000-0000-000075010000}"/>
    <cellStyle name="_KT (2)_5_DAU NOI PL-CL TAI PHU LAMHC_thanh toan CND OK 2" xfId="2842" xr:uid="{00000000-0005-0000-0000-000076010000}"/>
    <cellStyle name="_KT (2)_5_DAU NOI PL-CL TAI PHU LAMHC_thanh toan Nhon Binh - AVAn" xfId="362" xr:uid="{00000000-0005-0000-0000-000077010000}"/>
    <cellStyle name="_KT (2)_5_Dcdtoan-bcnckt " xfId="363" xr:uid="{00000000-0005-0000-0000-000078010000}"/>
    <cellStyle name="_KT (2)_5_don gia KSat avuong" xfId="364" xr:uid="{00000000-0005-0000-0000-000079010000}"/>
    <cellStyle name="_KT (2)_5_DT Dieu chinh A.Lan" xfId="365" xr:uid="{00000000-0005-0000-0000-00007A010000}"/>
    <cellStyle name="_KT (2)_5_DTCDT MR.2N110.HOCMON.TDTOAN.CCUNG" xfId="366" xr:uid="{00000000-0005-0000-0000-00007B010000}"/>
    <cellStyle name="_KT (2)_5_Du kien giai ngan cac du an den 30-6-16-OK" xfId="367" xr:uid="{00000000-0005-0000-0000-00007C010000}"/>
    <cellStyle name="_KT (2)_5_Du kien giai ngan cac du an den 30-6-16-OK 2" xfId="2843" xr:uid="{00000000-0005-0000-0000-00007D010000}"/>
    <cellStyle name="_KT (2)_5_Goi5-PhuMy+P.Cat+Q.Nhon T.Toan+Q.toan" xfId="369" xr:uid="{00000000-0005-0000-0000-00007E010000}"/>
    <cellStyle name="_KT (2)_5_Giaduthau" xfId="368" xr:uid="{00000000-0005-0000-0000-00007F010000}"/>
    <cellStyle name="_KT (2)_5_Lora-tungchau" xfId="370" xr:uid="{00000000-0005-0000-0000-000080010000}"/>
    <cellStyle name="_KT (2)_5_Lora-tungchau_Du kien giai ngan cac du an den 30-6-16-OK" xfId="371" xr:uid="{00000000-0005-0000-0000-000081010000}"/>
    <cellStyle name="_KT (2)_5_Lora-tungchau_Du kien giai ngan cac du an den 30-6-16-OK 2" xfId="2844" xr:uid="{00000000-0005-0000-0000-000082010000}"/>
    <cellStyle name="_KT (2)_5_Lora-tungchau_thanh toan CND OK" xfId="372" xr:uid="{00000000-0005-0000-0000-000083010000}"/>
    <cellStyle name="_KT (2)_5_Lora-tungchau_thanh toan CND OK 2" xfId="2845" xr:uid="{00000000-0005-0000-0000-000084010000}"/>
    <cellStyle name="_KT (2)_5_Lora-tungchau_thanh toan Nhon Binh - AVAn" xfId="373" xr:uid="{00000000-0005-0000-0000-000085010000}"/>
    <cellStyle name="_KT (2)_5_PGIA-phieu tham tra Kho bac" xfId="374" xr:uid="{00000000-0005-0000-0000-000086010000}"/>
    <cellStyle name="_KT (2)_5_PT02-02" xfId="375" xr:uid="{00000000-0005-0000-0000-000087010000}"/>
    <cellStyle name="_KT (2)_5_PT02-02_Book1" xfId="376" xr:uid="{00000000-0005-0000-0000-000088010000}"/>
    <cellStyle name="_KT (2)_5_PT02-03" xfId="377" xr:uid="{00000000-0005-0000-0000-000089010000}"/>
    <cellStyle name="_KT (2)_5_PT02-03_Book1" xfId="378" xr:uid="{00000000-0005-0000-0000-00008A010000}"/>
    <cellStyle name="_KT (2)_5_PTT thong tin" xfId="379" xr:uid="{00000000-0005-0000-0000-00008B010000}"/>
    <cellStyle name="_KT (2)_5_Qt-HT3PQ1(CauKho)" xfId="380" xr:uid="{00000000-0005-0000-0000-00008C010000}"/>
    <cellStyle name="_KT (2)_5_Qt-HT3PQ1(CauKho)_Du kien giai ngan cac du an den 30-6-16-OK" xfId="381" xr:uid="{00000000-0005-0000-0000-00008D010000}"/>
    <cellStyle name="_KT (2)_5_Qt-HT3PQ1(CauKho)_thanh toan CND OK" xfId="382" xr:uid="{00000000-0005-0000-0000-00008E010000}"/>
    <cellStyle name="_KT (2)_5_Qt-HT3PQ1(CauKho)_thanh toan Nhon Binh - AVAn" xfId="383" xr:uid="{00000000-0005-0000-0000-00008F010000}"/>
    <cellStyle name="_KT (2)_5_Qt-HT3PQ1(CauKho)_ÿÿÿÿÿ" xfId="384" xr:uid="{00000000-0005-0000-0000-000090010000}"/>
    <cellStyle name="_KT (2)_5_QT-LCTP-AE" xfId="385" xr:uid="{00000000-0005-0000-0000-000091010000}"/>
    <cellStyle name="_KT (2)_5_QT-LONG MY tong-chinh thuc" xfId="386" xr:uid="{00000000-0005-0000-0000-000092010000}"/>
    <cellStyle name="_KT (2)_5_tuyenqlo24" xfId="389" xr:uid="{00000000-0005-0000-0000-000093010000}"/>
    <cellStyle name="_KT (2)_5_tuyenqlo24_Book1" xfId="390" xr:uid="{00000000-0005-0000-0000-000094010000}"/>
    <cellStyle name="_KT (2)_5_thanh toan CND OK" xfId="387" xr:uid="{00000000-0005-0000-0000-000095010000}"/>
    <cellStyle name="_KT (2)_5_thanh toan CND OK 2" xfId="2846" xr:uid="{00000000-0005-0000-0000-000096010000}"/>
    <cellStyle name="_KT (2)_5_thanh toan Nhon Binh - AVAn" xfId="388" xr:uid="{00000000-0005-0000-0000-000097010000}"/>
    <cellStyle name="_KT (2)_BangMTC" xfId="391" xr:uid="{00000000-0005-0000-0000-000098010000}"/>
    <cellStyle name="_KT (2)_BangNC" xfId="392" xr:uid="{00000000-0005-0000-0000-000099010000}"/>
    <cellStyle name="_KT (2)_Baocao1034" xfId="393" xr:uid="{00000000-0005-0000-0000-00009A010000}"/>
    <cellStyle name="_KT (2)_Book1" xfId="394" xr:uid="{00000000-0005-0000-0000-00009B010000}"/>
    <cellStyle name="_KT (2)_Book1_BC-QT-WB-dthao" xfId="395" xr:uid="{00000000-0005-0000-0000-00009C010000}"/>
    <cellStyle name="_KT (2)_Book1_Du kien giai ngan cac du an den 30-6-16-OK" xfId="396" xr:uid="{00000000-0005-0000-0000-00009D010000}"/>
    <cellStyle name="_KT (2)_don gia KSat avuong" xfId="397" xr:uid="{00000000-0005-0000-0000-00009E010000}"/>
    <cellStyle name="_KT (2)_DT Dieu chinh A.Lan" xfId="398" xr:uid="{00000000-0005-0000-0000-00009F010000}"/>
    <cellStyle name="_KT (2)_Du kien giai ngan cac du an den 30-6-16-OK" xfId="399" xr:uid="{00000000-0005-0000-0000-0000A0010000}"/>
    <cellStyle name="_KT (2)_Goi5-PhuMy+P.Cat+Q.Nhon T.Toan+Q.toan" xfId="401" xr:uid="{00000000-0005-0000-0000-0000A1010000}"/>
    <cellStyle name="_KT (2)_Giaduthau" xfId="400" xr:uid="{00000000-0005-0000-0000-0000A2010000}"/>
    <cellStyle name="_KT (2)_Lora-tungchau" xfId="402" xr:uid="{00000000-0005-0000-0000-0000A3010000}"/>
    <cellStyle name="_KT (2)_Lora-tungchau_Du kien giai ngan cac du an den 30-6-16-OK" xfId="403" xr:uid="{00000000-0005-0000-0000-0000A4010000}"/>
    <cellStyle name="_KT (2)_Lora-tungchau_thanh toan CND OK" xfId="404" xr:uid="{00000000-0005-0000-0000-0000A5010000}"/>
    <cellStyle name="_KT (2)_Lora-tungchau_thanh toan Nhon Binh - AVAn" xfId="405" xr:uid="{00000000-0005-0000-0000-0000A6010000}"/>
    <cellStyle name="_KT (2)_Lora-tungchau_ÿÿÿÿÿ" xfId="406" xr:uid="{00000000-0005-0000-0000-0000A7010000}"/>
    <cellStyle name="_KT (2)_PERSONAL" xfId="407" xr:uid="{00000000-0005-0000-0000-0000A8010000}"/>
    <cellStyle name="_KT (2)_PERSONAL_Book1" xfId="408" xr:uid="{00000000-0005-0000-0000-0000A9010000}"/>
    <cellStyle name="_KT (2)_PERSONAL_Book1_Du kien giai ngan cac du an den 30-6-16-OK" xfId="409" xr:uid="{00000000-0005-0000-0000-0000AA010000}"/>
    <cellStyle name="_KT (2)_PERSONAL_Du kien giai ngan cac du an den 30-6-16-OK" xfId="410" xr:uid="{00000000-0005-0000-0000-0000AB010000}"/>
    <cellStyle name="_KT (2)_PERSONAL_Gia du thau  Truong KT-KT(Chot) " xfId="411" xr:uid="{00000000-0005-0000-0000-0000AC010000}"/>
    <cellStyle name="_KT (2)_PERSONAL_HTQ.8 GD1" xfId="412" xr:uid="{00000000-0005-0000-0000-0000AD010000}"/>
    <cellStyle name="_KT (2)_PERSONAL_May thi cong Groz " xfId="413" xr:uid="{00000000-0005-0000-0000-0000AE010000}"/>
    <cellStyle name="_KT (2)_PERSONAL_Tong hop KHCB 2001" xfId="414" xr:uid="{00000000-0005-0000-0000-0000AF010000}"/>
    <cellStyle name="_KT (2)_PTT thong tin" xfId="415" xr:uid="{00000000-0005-0000-0000-0000B0010000}"/>
    <cellStyle name="_KT (2)_Qt-HT3PQ1(CauKho)" xfId="416" xr:uid="{00000000-0005-0000-0000-0000B1010000}"/>
    <cellStyle name="_KT (2)_Qt-HT3PQ1(CauKho)_Du kien giai ngan cac du an den 30-6-16-OK" xfId="417" xr:uid="{00000000-0005-0000-0000-0000B2010000}"/>
    <cellStyle name="_KT (2)_Qt-HT3PQ1(CauKho)_thanh toan CND OK" xfId="418" xr:uid="{00000000-0005-0000-0000-0000B3010000}"/>
    <cellStyle name="_KT (2)_Qt-HT3PQ1(CauKho)_thanh toan Nhon Binh - AVAn" xfId="419" xr:uid="{00000000-0005-0000-0000-0000B4010000}"/>
    <cellStyle name="_KT (2)_Qt-HT3PQ1(CauKho)_ÿÿÿÿÿ" xfId="420" xr:uid="{00000000-0005-0000-0000-0000B5010000}"/>
    <cellStyle name="_KT (2)_QT-LCTP-AE" xfId="421" xr:uid="{00000000-0005-0000-0000-0000B6010000}"/>
    <cellStyle name="_KT (2)_QT-LONG MY tong-chinh thuc" xfId="422" xr:uid="{00000000-0005-0000-0000-0000B7010000}"/>
    <cellStyle name="_KT (2)_TG-TH" xfId="423" xr:uid="{00000000-0005-0000-0000-0000B8010000}"/>
    <cellStyle name="_KT (2)_tuyenqlo24" xfId="426" xr:uid="{00000000-0005-0000-0000-0000B9010000}"/>
    <cellStyle name="_KT (2)_thanh toan CND OK" xfId="424" xr:uid="{00000000-0005-0000-0000-0000BA010000}"/>
    <cellStyle name="_KT (2)_thanh toan Nhon Binh - AVAn" xfId="425" xr:uid="{00000000-0005-0000-0000-0000BB010000}"/>
    <cellStyle name="_KT (2)_ÿÿÿÿÿ" xfId="427" xr:uid="{00000000-0005-0000-0000-0000BC010000}"/>
    <cellStyle name="_KT_TG" xfId="428" xr:uid="{00000000-0005-0000-0000-0000BD010000}"/>
    <cellStyle name="_KT_TG_1" xfId="429" xr:uid="{00000000-0005-0000-0000-0000BE010000}"/>
    <cellStyle name="_KT_TG_1_BangMTC" xfId="430" xr:uid="{00000000-0005-0000-0000-0000BF010000}"/>
    <cellStyle name="_KT_TG_1_BangNC" xfId="431" xr:uid="{00000000-0005-0000-0000-0000C0010000}"/>
    <cellStyle name="_KT_TG_1_BAO CAO KLCT PT2000" xfId="432" xr:uid="{00000000-0005-0000-0000-0000C1010000}"/>
    <cellStyle name="_KT_TG_1_BAO CAO PT2000" xfId="433" xr:uid="{00000000-0005-0000-0000-0000C2010000}"/>
    <cellStyle name="_KT_TG_1_BAO CAO PT2000_Book1" xfId="434" xr:uid="{00000000-0005-0000-0000-0000C3010000}"/>
    <cellStyle name="_KT_TG_1_Bao cao XDCB 2001 - T11 KH dieu chinh 20-11-THAI" xfId="435" xr:uid="{00000000-0005-0000-0000-0000C4010000}"/>
    <cellStyle name="_KT_TG_1_Baocao1034" xfId="436" xr:uid="{00000000-0005-0000-0000-0000C5010000}"/>
    <cellStyle name="_KT_TG_1_Book1" xfId="437" xr:uid="{00000000-0005-0000-0000-0000C6010000}"/>
    <cellStyle name="_KT_TG_1_Book1_1" xfId="438" xr:uid="{00000000-0005-0000-0000-0000C7010000}"/>
    <cellStyle name="_KT_TG_1_Book1_2" xfId="439" xr:uid="{00000000-0005-0000-0000-0000C8010000}"/>
    <cellStyle name="_KT_TG_1_Book1_3" xfId="440" xr:uid="{00000000-0005-0000-0000-0000C9010000}"/>
    <cellStyle name="_KT_TG_1_Book1_3_Gia du thau  Truong KT-KT(Chot) " xfId="441" xr:uid="{00000000-0005-0000-0000-0000CA010000}"/>
    <cellStyle name="_KT_TG_1_Book1_3_May thi cong Groz " xfId="442" xr:uid="{00000000-0005-0000-0000-0000CB010000}"/>
    <cellStyle name="_KT_TG_1_Book1_4" xfId="443" xr:uid="{00000000-0005-0000-0000-0000CC010000}"/>
    <cellStyle name="_KT_TG_1_Book1_BC-QT-WB-dthao" xfId="444" xr:uid="{00000000-0005-0000-0000-0000CD010000}"/>
    <cellStyle name="_KT_TG_1_Book1_Book1" xfId="445" xr:uid="{00000000-0005-0000-0000-0000CE010000}"/>
    <cellStyle name="_KT_TG_1_Book1_Book1_Gia du thau  Truong KT-KT(Chot) " xfId="446" xr:uid="{00000000-0005-0000-0000-0000CF010000}"/>
    <cellStyle name="_KT_TG_1_Book1_Book1_Gia du thau  Truong KT-KT(Chot) _Book1" xfId="447" xr:uid="{00000000-0005-0000-0000-0000D0010000}"/>
    <cellStyle name="_KT_TG_1_Book1_Book1_May thi cong Groz " xfId="448" xr:uid="{00000000-0005-0000-0000-0000D1010000}"/>
    <cellStyle name="_KT_TG_1_Book1_Book1_May thi cong Groz _Book1" xfId="449" xr:uid="{00000000-0005-0000-0000-0000D2010000}"/>
    <cellStyle name="_KT_TG_1_Book1_Du kien giai ngan cac du an den 30-6-16-OK" xfId="450" xr:uid="{00000000-0005-0000-0000-0000D3010000}"/>
    <cellStyle name="_KT_TG_1_Book1_Gia du thau  Truong KT-KT(Chot) " xfId="451" xr:uid="{00000000-0005-0000-0000-0000D4010000}"/>
    <cellStyle name="_KT_TG_1_Book1_May thi cong Groz " xfId="452" xr:uid="{00000000-0005-0000-0000-0000D5010000}"/>
    <cellStyle name="_KT_TG_1_Can Don moi da xong anh thuat" xfId="453" xr:uid="{00000000-0005-0000-0000-0000D6010000}"/>
    <cellStyle name="_KT_TG_1_DAU NOI PL-CL TAI PHU LAMHC" xfId="454" xr:uid="{00000000-0005-0000-0000-0000D7010000}"/>
    <cellStyle name="_KT_TG_1_DAU NOI PL-CL TAI PHU LAMHC 2" xfId="2847" xr:uid="{00000000-0005-0000-0000-0000D8010000}"/>
    <cellStyle name="_KT_TG_1_DAU NOI PL-CL TAI PHU LAMHC_thanh toan CND OK" xfId="455" xr:uid="{00000000-0005-0000-0000-0000D9010000}"/>
    <cellStyle name="_KT_TG_1_DAU NOI PL-CL TAI PHU LAMHC_thanh toan CND OK 2" xfId="2848" xr:uid="{00000000-0005-0000-0000-0000DA010000}"/>
    <cellStyle name="_KT_TG_1_DAU NOI PL-CL TAI PHU LAMHC_thanh toan Nhon Binh - AVAn" xfId="456" xr:uid="{00000000-0005-0000-0000-0000DB010000}"/>
    <cellStyle name="_KT_TG_1_Dcdtoan-bcnckt " xfId="457" xr:uid="{00000000-0005-0000-0000-0000DC010000}"/>
    <cellStyle name="_KT_TG_1_don gia KSat avuong" xfId="458" xr:uid="{00000000-0005-0000-0000-0000DD010000}"/>
    <cellStyle name="_KT_TG_1_DT Dieu chinh A.Lan" xfId="459" xr:uid="{00000000-0005-0000-0000-0000DE010000}"/>
    <cellStyle name="_KT_TG_1_DTCDT MR.2N110.HOCMON.TDTOAN.CCUNG" xfId="460" xr:uid="{00000000-0005-0000-0000-0000DF010000}"/>
    <cellStyle name="_KT_TG_1_Du kien giai ngan cac du an den 30-6-16-OK" xfId="461" xr:uid="{00000000-0005-0000-0000-0000E0010000}"/>
    <cellStyle name="_KT_TG_1_Du kien giai ngan cac du an den 30-6-16-OK 2" xfId="2849" xr:uid="{00000000-0005-0000-0000-0000E1010000}"/>
    <cellStyle name="_KT_TG_1_Goi5-PhuMy+P.Cat+Q.Nhon T.Toan+Q.toan" xfId="463" xr:uid="{00000000-0005-0000-0000-0000E2010000}"/>
    <cellStyle name="_KT_TG_1_Giaduthau" xfId="462" xr:uid="{00000000-0005-0000-0000-0000E3010000}"/>
    <cellStyle name="_KT_TG_1_Lora-tungchau" xfId="464" xr:uid="{00000000-0005-0000-0000-0000E4010000}"/>
    <cellStyle name="_KT_TG_1_Lora-tungchau_Du kien giai ngan cac du an den 30-6-16-OK" xfId="465" xr:uid="{00000000-0005-0000-0000-0000E5010000}"/>
    <cellStyle name="_KT_TG_1_Lora-tungchau_Du kien giai ngan cac du an den 30-6-16-OK 2" xfId="2850" xr:uid="{00000000-0005-0000-0000-0000E6010000}"/>
    <cellStyle name="_KT_TG_1_Lora-tungchau_thanh toan CND OK" xfId="466" xr:uid="{00000000-0005-0000-0000-0000E7010000}"/>
    <cellStyle name="_KT_TG_1_Lora-tungchau_thanh toan CND OK 2" xfId="2851" xr:uid="{00000000-0005-0000-0000-0000E8010000}"/>
    <cellStyle name="_KT_TG_1_Lora-tungchau_thanh toan Nhon Binh - AVAn" xfId="467" xr:uid="{00000000-0005-0000-0000-0000E9010000}"/>
    <cellStyle name="_KT_TG_1_PGIA-phieu tham tra Kho bac" xfId="468" xr:uid="{00000000-0005-0000-0000-0000EA010000}"/>
    <cellStyle name="_KT_TG_1_PT02-02" xfId="469" xr:uid="{00000000-0005-0000-0000-0000EB010000}"/>
    <cellStyle name="_KT_TG_1_PT02-02_Book1" xfId="470" xr:uid="{00000000-0005-0000-0000-0000EC010000}"/>
    <cellStyle name="_KT_TG_1_PT02-03" xfId="471" xr:uid="{00000000-0005-0000-0000-0000ED010000}"/>
    <cellStyle name="_KT_TG_1_PT02-03_Book1" xfId="472" xr:uid="{00000000-0005-0000-0000-0000EE010000}"/>
    <cellStyle name="_KT_TG_1_PTT thong tin" xfId="473" xr:uid="{00000000-0005-0000-0000-0000EF010000}"/>
    <cellStyle name="_KT_TG_1_Qt-HT3PQ1(CauKho)" xfId="474" xr:uid="{00000000-0005-0000-0000-0000F0010000}"/>
    <cellStyle name="_KT_TG_1_Qt-HT3PQ1(CauKho)_Du kien giai ngan cac du an den 30-6-16-OK" xfId="475" xr:uid="{00000000-0005-0000-0000-0000F1010000}"/>
    <cellStyle name="_KT_TG_1_Qt-HT3PQ1(CauKho)_thanh toan CND OK" xfId="476" xr:uid="{00000000-0005-0000-0000-0000F2010000}"/>
    <cellStyle name="_KT_TG_1_Qt-HT3PQ1(CauKho)_thanh toan Nhon Binh - AVAn" xfId="477" xr:uid="{00000000-0005-0000-0000-0000F3010000}"/>
    <cellStyle name="_KT_TG_1_Qt-HT3PQ1(CauKho)_ÿÿÿÿÿ" xfId="478" xr:uid="{00000000-0005-0000-0000-0000F4010000}"/>
    <cellStyle name="_KT_TG_1_QT-LCTP-AE" xfId="479" xr:uid="{00000000-0005-0000-0000-0000F5010000}"/>
    <cellStyle name="_KT_TG_1_QT-LONG MY tong-chinh thuc" xfId="480" xr:uid="{00000000-0005-0000-0000-0000F6010000}"/>
    <cellStyle name="_KT_TG_1_tuyenqlo24" xfId="483" xr:uid="{00000000-0005-0000-0000-0000F7010000}"/>
    <cellStyle name="_KT_TG_1_tuyenqlo24_Book1" xfId="484" xr:uid="{00000000-0005-0000-0000-0000F8010000}"/>
    <cellStyle name="_KT_TG_1_thanh toan CND OK" xfId="481" xr:uid="{00000000-0005-0000-0000-0000F9010000}"/>
    <cellStyle name="_KT_TG_1_thanh toan CND OK 2" xfId="2852" xr:uid="{00000000-0005-0000-0000-0000FA010000}"/>
    <cellStyle name="_KT_TG_1_thanh toan Nhon Binh - AVAn" xfId="482" xr:uid="{00000000-0005-0000-0000-0000FB010000}"/>
    <cellStyle name="_KT_TG_2" xfId="485" xr:uid="{00000000-0005-0000-0000-0000FC010000}"/>
    <cellStyle name="_KT_TG_2_BangMTC" xfId="486" xr:uid="{00000000-0005-0000-0000-0000FD010000}"/>
    <cellStyle name="_KT_TG_2_BangNC" xfId="487" xr:uid="{00000000-0005-0000-0000-0000FE010000}"/>
    <cellStyle name="_KT_TG_2_BAO CAO KLCT PT2000" xfId="488" xr:uid="{00000000-0005-0000-0000-0000FF010000}"/>
    <cellStyle name="_KT_TG_2_BAO CAO PT2000" xfId="489" xr:uid="{00000000-0005-0000-0000-000000020000}"/>
    <cellStyle name="_KT_TG_2_BAO CAO PT2000_Book1" xfId="490" xr:uid="{00000000-0005-0000-0000-000001020000}"/>
    <cellStyle name="_KT_TG_2_Bao cao XDCB 2001 - T11 KH dieu chinh 20-11-THAI" xfId="491" xr:uid="{00000000-0005-0000-0000-000002020000}"/>
    <cellStyle name="_KT_TG_2_Baocao1034" xfId="492" xr:uid="{00000000-0005-0000-0000-000003020000}"/>
    <cellStyle name="_KT_TG_2_Book1" xfId="493" xr:uid="{00000000-0005-0000-0000-000004020000}"/>
    <cellStyle name="_KT_TG_2_Book1_1" xfId="494" xr:uid="{00000000-0005-0000-0000-000005020000}"/>
    <cellStyle name="_KT_TG_2_Book1_2" xfId="495" xr:uid="{00000000-0005-0000-0000-000006020000}"/>
    <cellStyle name="_KT_TG_2_Book1_3" xfId="496" xr:uid="{00000000-0005-0000-0000-000007020000}"/>
    <cellStyle name="_KT_TG_2_Book1_3_Gia du thau  Truong KT-KT(Chot) " xfId="497" xr:uid="{00000000-0005-0000-0000-000008020000}"/>
    <cellStyle name="_KT_TG_2_Book1_3_May thi cong Groz " xfId="498" xr:uid="{00000000-0005-0000-0000-000009020000}"/>
    <cellStyle name="_KT_TG_2_Book1_4" xfId="499" xr:uid="{00000000-0005-0000-0000-00000A020000}"/>
    <cellStyle name="_KT_TG_2_Book1_5" xfId="500" xr:uid="{00000000-0005-0000-0000-00000B020000}"/>
    <cellStyle name="_KT_TG_2_Book1_Book1" xfId="501" xr:uid="{00000000-0005-0000-0000-00000C020000}"/>
    <cellStyle name="_KT_TG_2_Book1_Book1_Gia du thau  Truong KT-KT(Chot) " xfId="502" xr:uid="{00000000-0005-0000-0000-00000D020000}"/>
    <cellStyle name="_KT_TG_2_Book1_Book1_Gia du thau  Truong KT-KT(Chot) _Book1" xfId="503" xr:uid="{00000000-0005-0000-0000-00000E020000}"/>
    <cellStyle name="_KT_TG_2_Book1_Book1_May thi cong Groz " xfId="504" xr:uid="{00000000-0005-0000-0000-00000F020000}"/>
    <cellStyle name="_KT_TG_2_Book1_Book1_May thi cong Groz _Book1" xfId="505" xr:uid="{00000000-0005-0000-0000-000010020000}"/>
    <cellStyle name="_KT_TG_2_Book1_Du kien giai ngan cac du an den 30-6-16-OK" xfId="506" xr:uid="{00000000-0005-0000-0000-000011020000}"/>
    <cellStyle name="_KT_TG_2_Book1_Gia du thau  Truong KT-KT(Chot) " xfId="507" xr:uid="{00000000-0005-0000-0000-000012020000}"/>
    <cellStyle name="_KT_TG_2_Book1_May thi cong Groz " xfId="508" xr:uid="{00000000-0005-0000-0000-000013020000}"/>
    <cellStyle name="_KT_TG_2_Can Don moi da xong anh thuat" xfId="509" xr:uid="{00000000-0005-0000-0000-000014020000}"/>
    <cellStyle name="_KT_TG_2_DAU NOI PL-CL TAI PHU LAMHC" xfId="510" xr:uid="{00000000-0005-0000-0000-000015020000}"/>
    <cellStyle name="_KT_TG_2_DAU NOI PL-CL TAI PHU LAMHC 2" xfId="2853" xr:uid="{00000000-0005-0000-0000-000016020000}"/>
    <cellStyle name="_KT_TG_2_DAU NOI PL-CL TAI PHU LAMHC_thanh toan CND OK" xfId="511" xr:uid="{00000000-0005-0000-0000-000017020000}"/>
    <cellStyle name="_KT_TG_2_DAU NOI PL-CL TAI PHU LAMHC_thanh toan CND OK 2" xfId="2854" xr:uid="{00000000-0005-0000-0000-000018020000}"/>
    <cellStyle name="_KT_TG_2_DAU NOI PL-CL TAI PHU LAMHC_thanh toan Nhon Binh - AVAn" xfId="512" xr:uid="{00000000-0005-0000-0000-000019020000}"/>
    <cellStyle name="_KT_TG_2_Dcdtoan-bcnckt " xfId="513" xr:uid="{00000000-0005-0000-0000-00001A020000}"/>
    <cellStyle name="_KT_TG_2_don gia KSat avuong" xfId="514" xr:uid="{00000000-0005-0000-0000-00001B020000}"/>
    <cellStyle name="_KT_TG_2_DT Dieu chinh A.Lan" xfId="515" xr:uid="{00000000-0005-0000-0000-00001C020000}"/>
    <cellStyle name="_KT_TG_2_DTCDT MR.2N110.HOCMON.TDTOAN.CCUNG" xfId="516" xr:uid="{00000000-0005-0000-0000-00001D020000}"/>
    <cellStyle name="_KT_TG_2_Du kien giai ngan cac du an den 30-6-16-OK" xfId="517" xr:uid="{00000000-0005-0000-0000-00001E020000}"/>
    <cellStyle name="_KT_TG_2_Du kien giai ngan cac du an den 30-6-16-OK 2" xfId="2855" xr:uid="{00000000-0005-0000-0000-00001F020000}"/>
    <cellStyle name="_KT_TG_2_Goi5-PhuMy+P.Cat+Q.Nhon T.Toan+Q.toan" xfId="519" xr:uid="{00000000-0005-0000-0000-000020020000}"/>
    <cellStyle name="_KT_TG_2_Giaduthau" xfId="518" xr:uid="{00000000-0005-0000-0000-000021020000}"/>
    <cellStyle name="_KT_TG_2_Lora-tungchau" xfId="520" xr:uid="{00000000-0005-0000-0000-000022020000}"/>
    <cellStyle name="_KT_TG_2_Lora-tungchau_Du kien giai ngan cac du an den 30-6-16-OK" xfId="521" xr:uid="{00000000-0005-0000-0000-000023020000}"/>
    <cellStyle name="_KT_TG_2_Lora-tungchau_Du kien giai ngan cac du an den 30-6-16-OK 2" xfId="2856" xr:uid="{00000000-0005-0000-0000-000024020000}"/>
    <cellStyle name="_KT_TG_2_Lora-tungchau_thanh toan CND OK" xfId="522" xr:uid="{00000000-0005-0000-0000-000025020000}"/>
    <cellStyle name="_KT_TG_2_Lora-tungchau_thanh toan CND OK 2" xfId="2857" xr:uid="{00000000-0005-0000-0000-000026020000}"/>
    <cellStyle name="_KT_TG_2_Lora-tungchau_thanh toan Nhon Binh - AVAn" xfId="523" xr:uid="{00000000-0005-0000-0000-000027020000}"/>
    <cellStyle name="_KT_TG_2_PGIA-phieu tham tra Kho bac" xfId="524" xr:uid="{00000000-0005-0000-0000-000028020000}"/>
    <cellStyle name="_KT_TG_2_PT02-02" xfId="525" xr:uid="{00000000-0005-0000-0000-000029020000}"/>
    <cellStyle name="_KT_TG_2_PT02-02_Book1" xfId="526" xr:uid="{00000000-0005-0000-0000-00002A020000}"/>
    <cellStyle name="_KT_TG_2_PT02-03" xfId="527" xr:uid="{00000000-0005-0000-0000-00002B020000}"/>
    <cellStyle name="_KT_TG_2_PT02-03_Book1" xfId="528" xr:uid="{00000000-0005-0000-0000-00002C020000}"/>
    <cellStyle name="_KT_TG_2_PTT thong tin" xfId="529" xr:uid="{00000000-0005-0000-0000-00002D020000}"/>
    <cellStyle name="_KT_TG_2_Qt-HT3PQ1(CauKho)" xfId="530" xr:uid="{00000000-0005-0000-0000-00002E020000}"/>
    <cellStyle name="_KT_TG_2_Qt-HT3PQ1(CauKho)_Du kien giai ngan cac du an den 30-6-16-OK" xfId="531" xr:uid="{00000000-0005-0000-0000-00002F020000}"/>
    <cellStyle name="_KT_TG_2_Qt-HT3PQ1(CauKho)_thanh toan CND OK" xfId="532" xr:uid="{00000000-0005-0000-0000-000030020000}"/>
    <cellStyle name="_KT_TG_2_Qt-HT3PQ1(CauKho)_thanh toan Nhon Binh - AVAn" xfId="533" xr:uid="{00000000-0005-0000-0000-000031020000}"/>
    <cellStyle name="_KT_TG_2_Qt-HT3PQ1(CauKho)_ÿÿÿÿÿ" xfId="534" xr:uid="{00000000-0005-0000-0000-000032020000}"/>
    <cellStyle name="_KT_TG_2_QT-LCTP-AE" xfId="535" xr:uid="{00000000-0005-0000-0000-000033020000}"/>
    <cellStyle name="_KT_TG_2_QT-LONG MY tong-chinh thuc" xfId="536" xr:uid="{00000000-0005-0000-0000-000034020000}"/>
    <cellStyle name="_KT_TG_2_tuyenqlo24" xfId="539" xr:uid="{00000000-0005-0000-0000-000035020000}"/>
    <cellStyle name="_KT_TG_2_tuyenqlo24_Book1" xfId="540" xr:uid="{00000000-0005-0000-0000-000036020000}"/>
    <cellStyle name="_KT_TG_2_thanh toan CND OK" xfId="537" xr:uid="{00000000-0005-0000-0000-000037020000}"/>
    <cellStyle name="_KT_TG_2_thanh toan CND OK 2" xfId="2858" xr:uid="{00000000-0005-0000-0000-000038020000}"/>
    <cellStyle name="_KT_TG_2_thanh toan Nhon Binh - AVAn" xfId="538" xr:uid="{00000000-0005-0000-0000-000039020000}"/>
    <cellStyle name="_KT_TG_3" xfId="541" xr:uid="{00000000-0005-0000-0000-00003A020000}"/>
    <cellStyle name="_KT_TG_4" xfId="542" xr:uid="{00000000-0005-0000-0000-00003B020000}"/>
    <cellStyle name="_KT_TG_4_BangMTC" xfId="543" xr:uid="{00000000-0005-0000-0000-00003C020000}"/>
    <cellStyle name="_KT_TG_4_BangNC" xfId="544" xr:uid="{00000000-0005-0000-0000-00003D020000}"/>
    <cellStyle name="_KT_TG_4_Baocao1034" xfId="545" xr:uid="{00000000-0005-0000-0000-00003E020000}"/>
    <cellStyle name="_KT_TG_4_Du kien giai ngan cac du an den 30-6-16-OK" xfId="546" xr:uid="{00000000-0005-0000-0000-00003F020000}"/>
    <cellStyle name="_KT_TG_4_Lora-tungchau" xfId="547" xr:uid="{00000000-0005-0000-0000-000040020000}"/>
    <cellStyle name="_KT_TG_4_Lora-tungchau_Du kien giai ngan cac du an den 30-6-16-OK" xfId="548" xr:uid="{00000000-0005-0000-0000-000041020000}"/>
    <cellStyle name="_KT_TG_4_Qt-HT3PQ1(CauKho)" xfId="549" xr:uid="{00000000-0005-0000-0000-000042020000}"/>
    <cellStyle name="_KT_TG_4_Qt-HT3PQ1(CauKho)_Du kien giai ngan cac du an den 30-6-16-OK" xfId="550" xr:uid="{00000000-0005-0000-0000-000043020000}"/>
    <cellStyle name="_KT_TG_4_Qt-HT3PQ1(CauKho)_thanh toan CND OK" xfId="551" xr:uid="{00000000-0005-0000-0000-000044020000}"/>
    <cellStyle name="_KT_TG_4_Qt-HT3PQ1(CauKho)_thanh toan Nhon Binh - AVAn" xfId="552" xr:uid="{00000000-0005-0000-0000-000045020000}"/>
    <cellStyle name="_KT_TG_4_Qt-HT3PQ1(CauKho)_ÿÿÿÿÿ" xfId="553" xr:uid="{00000000-0005-0000-0000-000046020000}"/>
    <cellStyle name="_KT_TG_4_Qt-HT3PQ1(CauKho)_ÿÿÿÿÿ 2" xfId="2859" xr:uid="{00000000-0005-0000-0000-000047020000}"/>
    <cellStyle name="_KT_TG_4_tuyenqlo24" xfId="554" xr:uid="{00000000-0005-0000-0000-000048020000}"/>
    <cellStyle name="_KHPS thang 5_KV2(chinh sua)" xfId="166" xr:uid="{00000000-0005-0000-0000-000049020000}"/>
    <cellStyle name="_Khu nha may 2" xfId="167" xr:uid="{00000000-0005-0000-0000-00004A020000}"/>
    <cellStyle name="_Khu nha may 2_Book1" xfId="168" xr:uid="{00000000-0005-0000-0000-00004B020000}"/>
    <cellStyle name="_Lora-tungchau" xfId="555" xr:uid="{00000000-0005-0000-0000-00004C020000}"/>
    <cellStyle name="_Lora-tungchau_Du kien giai ngan cac du an den 30-6-16-OK" xfId="556" xr:uid="{00000000-0005-0000-0000-00004D020000}"/>
    <cellStyle name="_Lora-tungchau_thanh toan CND OK" xfId="557" xr:uid="{00000000-0005-0000-0000-00004E020000}"/>
    <cellStyle name="_Lora-tungchau_thanh toan Nhon Binh - AVAn" xfId="558" xr:uid="{00000000-0005-0000-0000-00004F020000}"/>
    <cellStyle name="_Lora-tungchau_ÿÿÿÿÿ" xfId="559" xr:uid="{00000000-0005-0000-0000-000050020000}"/>
    <cellStyle name="_Mau 2" xfId="560" xr:uid="{00000000-0005-0000-0000-000051020000}"/>
    <cellStyle name="_Mau 2_Book1" xfId="561" xr:uid="{00000000-0005-0000-0000-000052020000}"/>
    <cellStyle name="_Mau 2_MK-TK" xfId="562" xr:uid="{00000000-0005-0000-0000-000053020000}"/>
    <cellStyle name="_Mau 2_MK-TK_Book1" xfId="563" xr:uid="{00000000-0005-0000-0000-000054020000}"/>
    <cellStyle name="_MAU BAO CAO THANG MOI CHO ANH DUONG.xls-cu jut" xfId="564" xr:uid="{00000000-0005-0000-0000-000055020000}"/>
    <cellStyle name="_Ninh binh" xfId="566" xr:uid="{00000000-0005-0000-0000-000056020000}"/>
    <cellStyle name="_Ninh binh_Book1" xfId="567" xr:uid="{00000000-0005-0000-0000-000057020000}"/>
    <cellStyle name="_Ninh binhngoai" xfId="568" xr:uid="{00000000-0005-0000-0000-000058020000}"/>
    <cellStyle name="_Ninh binhngoai_Book1" xfId="569" xr:uid="{00000000-0005-0000-0000-000059020000}"/>
    <cellStyle name="_Ngay 10-5" xfId="565" xr:uid="{00000000-0005-0000-0000-00005A020000}"/>
    <cellStyle name="_PERSONAL" xfId="570" xr:uid="{00000000-0005-0000-0000-00005B020000}"/>
    <cellStyle name="_PERSONAL_Book1" xfId="571" xr:uid="{00000000-0005-0000-0000-00005C020000}"/>
    <cellStyle name="_PERSONAL_Book1_Du kien giai ngan cac du an den 30-6-16-OK" xfId="572" xr:uid="{00000000-0005-0000-0000-00005D020000}"/>
    <cellStyle name="_PERSONAL_Du kien giai ngan cac du an den 30-6-16-OK" xfId="573" xr:uid="{00000000-0005-0000-0000-00005E020000}"/>
    <cellStyle name="_PERSONAL_Gia du thau  Truong KT-KT(Chot) " xfId="574" xr:uid="{00000000-0005-0000-0000-00005F020000}"/>
    <cellStyle name="_PERSONAL_HTQ.8 GD1" xfId="575" xr:uid="{00000000-0005-0000-0000-000060020000}"/>
    <cellStyle name="_PERSONAL_May thi cong Groz " xfId="576" xr:uid="{00000000-0005-0000-0000-000061020000}"/>
    <cellStyle name="_PERSONAL_Tong hop KHCB 2001" xfId="577" xr:uid="{00000000-0005-0000-0000-000062020000}"/>
    <cellStyle name="_Pluc BTS KV2" xfId="582" xr:uid="{00000000-0005-0000-0000-000063020000}"/>
    <cellStyle name="_PTT thong tin" xfId="583" xr:uid="{00000000-0005-0000-0000-000064020000}"/>
    <cellStyle name="_PTT thong tin_Book1" xfId="584" xr:uid="{00000000-0005-0000-0000-000065020000}"/>
    <cellStyle name="_Phat sinh SCADA" xfId="578" xr:uid="{00000000-0005-0000-0000-000066020000}"/>
    <cellStyle name="_PHU LUC kv2" xfId="579" xr:uid="{00000000-0005-0000-0000-000067020000}"/>
    <cellStyle name="_phulucBBNT" xfId="580" xr:uid="{00000000-0005-0000-0000-000068020000}"/>
    <cellStyle name="_phulucBBNT_Book1" xfId="581" xr:uid="{00000000-0005-0000-0000-000069020000}"/>
    <cellStyle name="_QNM" xfId="585" xr:uid="{00000000-0005-0000-0000-00006A020000}"/>
    <cellStyle name="_QNM - de xuat vat tu 6 tahng cuoi nam 2009" xfId="586" xr:uid="{00000000-0005-0000-0000-00006B020000}"/>
    <cellStyle name="_Qt-HT3PQ1(CauKho)" xfId="587" xr:uid="{00000000-0005-0000-0000-00006C020000}"/>
    <cellStyle name="_Qt-HT3PQ1(CauKho)_Du kien giai ngan cac du an den 30-6-16-OK" xfId="588" xr:uid="{00000000-0005-0000-0000-00006D020000}"/>
    <cellStyle name="_Qt-HT3PQ1(CauKho)_thanh toan CND OK" xfId="589" xr:uid="{00000000-0005-0000-0000-00006E020000}"/>
    <cellStyle name="_Qt-HT3PQ1(CauKho)_thanh toan Nhon Binh - AVAn" xfId="590" xr:uid="{00000000-0005-0000-0000-00006F020000}"/>
    <cellStyle name="_Qt-HT3PQ1(CauKho)_ÿÿÿÿÿ" xfId="591" xr:uid="{00000000-0005-0000-0000-000070020000}"/>
    <cellStyle name="_QT-LCTP-AE" xfId="592" xr:uid="{00000000-0005-0000-0000-000071020000}"/>
    <cellStyle name="_QT-LONG MY tong-chinh thuc" xfId="593" xr:uid="{00000000-0005-0000-0000-000072020000}"/>
    <cellStyle name="_S200,..-H" xfId="594" xr:uid="{00000000-0005-0000-0000-000073020000}"/>
    <cellStyle name="_S200,..-H_9-7" xfId="595" xr:uid="{00000000-0005-0000-0000-000074020000}"/>
    <cellStyle name="_S200,..-H_BAO CAO Moi" xfId="596" xr:uid="{00000000-0005-0000-0000-000075020000}"/>
    <cellStyle name="_S200,..-H_BC Tong KV1 Binh" xfId="597" xr:uid="{00000000-0005-0000-0000-000076020000}"/>
    <cellStyle name="_S200,..-H_BTS" xfId="598" xr:uid="{00000000-0005-0000-0000-000077020000}"/>
    <cellStyle name="_S200,..-H_KV2" xfId="599" xr:uid="{00000000-0005-0000-0000-000078020000}"/>
    <cellStyle name="_S200,..-H_Phong HT Bao Cao" xfId="600" xr:uid="{00000000-0005-0000-0000-000079020000}"/>
    <cellStyle name="_S200,..-H_QH xa ok.xls" xfId="601" xr:uid="{00000000-0005-0000-0000-00007A020000}"/>
    <cellStyle name="_S200,..-H_QHX" xfId="602" xr:uid="{00000000-0005-0000-0000-00007B020000}"/>
    <cellStyle name="_S200,..-H_QHX Moi" xfId="603" xr:uid="{00000000-0005-0000-0000-00007C020000}"/>
    <cellStyle name="_S200,..-H_Quang Hoa Xa Tong The lam hang ngay" xfId="604" xr:uid="{00000000-0005-0000-0000-00007D020000}"/>
    <cellStyle name="_Sheet1" xfId="605" xr:uid="{00000000-0005-0000-0000-00007E020000}"/>
    <cellStyle name="_TG-TH" xfId="606" xr:uid="{00000000-0005-0000-0000-00007F020000}"/>
    <cellStyle name="_TG-TH_1" xfId="607" xr:uid="{00000000-0005-0000-0000-000080020000}"/>
    <cellStyle name="_TG-TH_1_BangMTC" xfId="608" xr:uid="{00000000-0005-0000-0000-000081020000}"/>
    <cellStyle name="_TG-TH_1_BangNC" xfId="609" xr:uid="{00000000-0005-0000-0000-000082020000}"/>
    <cellStyle name="_TG-TH_1_BAO CAO KLCT PT2000" xfId="610" xr:uid="{00000000-0005-0000-0000-000083020000}"/>
    <cellStyle name="_TG-TH_1_BAO CAO PT2000" xfId="611" xr:uid="{00000000-0005-0000-0000-000084020000}"/>
    <cellStyle name="_TG-TH_1_BAO CAO PT2000_Book1" xfId="612" xr:uid="{00000000-0005-0000-0000-000085020000}"/>
    <cellStyle name="_TG-TH_1_Bao cao XDCB 2001 - T11 KH dieu chinh 20-11-THAI" xfId="613" xr:uid="{00000000-0005-0000-0000-000086020000}"/>
    <cellStyle name="_TG-TH_1_Baocao1034" xfId="614" xr:uid="{00000000-0005-0000-0000-000087020000}"/>
    <cellStyle name="_TG-TH_1_Book1" xfId="615" xr:uid="{00000000-0005-0000-0000-000088020000}"/>
    <cellStyle name="_TG-TH_1_Book1_1" xfId="616" xr:uid="{00000000-0005-0000-0000-000089020000}"/>
    <cellStyle name="_TG-TH_1_Book1_2" xfId="617" xr:uid="{00000000-0005-0000-0000-00008A020000}"/>
    <cellStyle name="_TG-TH_1_Book1_3" xfId="618" xr:uid="{00000000-0005-0000-0000-00008B020000}"/>
    <cellStyle name="_TG-TH_1_Book1_3_Gia du thau  Truong KT-KT(Chot) " xfId="619" xr:uid="{00000000-0005-0000-0000-00008C020000}"/>
    <cellStyle name="_TG-TH_1_Book1_3_May thi cong Groz " xfId="620" xr:uid="{00000000-0005-0000-0000-00008D020000}"/>
    <cellStyle name="_TG-TH_1_Book1_4" xfId="621" xr:uid="{00000000-0005-0000-0000-00008E020000}"/>
    <cellStyle name="_TG-TH_1_Book1_BC-QT-WB-dthao" xfId="622" xr:uid="{00000000-0005-0000-0000-00008F020000}"/>
    <cellStyle name="_TG-TH_1_Book1_Book1" xfId="623" xr:uid="{00000000-0005-0000-0000-000090020000}"/>
    <cellStyle name="_TG-TH_1_Book1_Book1_Gia du thau  Truong KT-KT(Chot) " xfId="624" xr:uid="{00000000-0005-0000-0000-000091020000}"/>
    <cellStyle name="_TG-TH_1_Book1_Book1_Gia du thau  Truong KT-KT(Chot) _Book1" xfId="625" xr:uid="{00000000-0005-0000-0000-000092020000}"/>
    <cellStyle name="_TG-TH_1_Book1_Book1_May thi cong Groz " xfId="626" xr:uid="{00000000-0005-0000-0000-000093020000}"/>
    <cellStyle name="_TG-TH_1_Book1_Book1_May thi cong Groz _Book1" xfId="627" xr:uid="{00000000-0005-0000-0000-000094020000}"/>
    <cellStyle name="_TG-TH_1_Book1_Du kien giai ngan cac du an den 30-6-16-OK" xfId="628" xr:uid="{00000000-0005-0000-0000-000095020000}"/>
    <cellStyle name="_TG-TH_1_Book1_Gia du thau  Truong KT-KT(Chot) " xfId="629" xr:uid="{00000000-0005-0000-0000-000096020000}"/>
    <cellStyle name="_TG-TH_1_Book1_May thi cong Groz " xfId="630" xr:uid="{00000000-0005-0000-0000-000097020000}"/>
    <cellStyle name="_TG-TH_1_Can Don moi da xong anh thuat" xfId="631" xr:uid="{00000000-0005-0000-0000-000098020000}"/>
    <cellStyle name="_TG-TH_1_DAU NOI PL-CL TAI PHU LAMHC" xfId="632" xr:uid="{00000000-0005-0000-0000-000099020000}"/>
    <cellStyle name="_TG-TH_1_DAU NOI PL-CL TAI PHU LAMHC 2" xfId="2860" xr:uid="{00000000-0005-0000-0000-00009A020000}"/>
    <cellStyle name="_TG-TH_1_DAU NOI PL-CL TAI PHU LAMHC_thanh toan CND OK" xfId="633" xr:uid="{00000000-0005-0000-0000-00009B020000}"/>
    <cellStyle name="_TG-TH_1_DAU NOI PL-CL TAI PHU LAMHC_thanh toan CND OK 2" xfId="2861" xr:uid="{00000000-0005-0000-0000-00009C020000}"/>
    <cellStyle name="_TG-TH_1_DAU NOI PL-CL TAI PHU LAMHC_thanh toan Nhon Binh - AVAn" xfId="634" xr:uid="{00000000-0005-0000-0000-00009D020000}"/>
    <cellStyle name="_TG-TH_1_Dcdtoan-bcnckt " xfId="635" xr:uid="{00000000-0005-0000-0000-00009E020000}"/>
    <cellStyle name="_TG-TH_1_don gia KSat avuong" xfId="636" xr:uid="{00000000-0005-0000-0000-00009F020000}"/>
    <cellStyle name="_TG-TH_1_DT Dieu chinh A.Lan" xfId="637" xr:uid="{00000000-0005-0000-0000-0000A0020000}"/>
    <cellStyle name="_TG-TH_1_DTCDT MR.2N110.HOCMON.TDTOAN.CCUNG" xfId="638" xr:uid="{00000000-0005-0000-0000-0000A1020000}"/>
    <cellStyle name="_TG-TH_1_Du kien giai ngan cac du an den 30-6-16-OK" xfId="639" xr:uid="{00000000-0005-0000-0000-0000A2020000}"/>
    <cellStyle name="_TG-TH_1_Du kien giai ngan cac du an den 30-6-16-OK 2" xfId="2862" xr:uid="{00000000-0005-0000-0000-0000A3020000}"/>
    <cellStyle name="_TG-TH_1_Goi5-PhuMy+P.Cat+Q.Nhon T.Toan+Q.toan" xfId="641" xr:uid="{00000000-0005-0000-0000-0000A4020000}"/>
    <cellStyle name="_TG-TH_1_Giaduthau" xfId="640" xr:uid="{00000000-0005-0000-0000-0000A5020000}"/>
    <cellStyle name="_TG-TH_1_Lora-tungchau" xfId="642" xr:uid="{00000000-0005-0000-0000-0000A6020000}"/>
    <cellStyle name="_TG-TH_1_Lora-tungchau_Du kien giai ngan cac du an den 30-6-16-OK" xfId="643" xr:uid="{00000000-0005-0000-0000-0000A7020000}"/>
    <cellStyle name="_TG-TH_1_Lora-tungchau_Du kien giai ngan cac du an den 30-6-16-OK 2" xfId="2863" xr:uid="{00000000-0005-0000-0000-0000A8020000}"/>
    <cellStyle name="_TG-TH_1_Lora-tungchau_thanh toan CND OK" xfId="644" xr:uid="{00000000-0005-0000-0000-0000A9020000}"/>
    <cellStyle name="_TG-TH_1_Lora-tungchau_thanh toan CND OK 2" xfId="2864" xr:uid="{00000000-0005-0000-0000-0000AA020000}"/>
    <cellStyle name="_TG-TH_1_Lora-tungchau_thanh toan Nhon Binh - AVAn" xfId="645" xr:uid="{00000000-0005-0000-0000-0000AB020000}"/>
    <cellStyle name="_TG-TH_1_PGIA-phieu tham tra Kho bac" xfId="646" xr:uid="{00000000-0005-0000-0000-0000AC020000}"/>
    <cellStyle name="_TG-TH_1_PT02-02" xfId="647" xr:uid="{00000000-0005-0000-0000-0000AD020000}"/>
    <cellStyle name="_TG-TH_1_PT02-02_Book1" xfId="648" xr:uid="{00000000-0005-0000-0000-0000AE020000}"/>
    <cellStyle name="_TG-TH_1_PT02-03" xfId="649" xr:uid="{00000000-0005-0000-0000-0000AF020000}"/>
    <cellStyle name="_TG-TH_1_PT02-03_Book1" xfId="650" xr:uid="{00000000-0005-0000-0000-0000B0020000}"/>
    <cellStyle name="_TG-TH_1_PTT thong tin" xfId="651" xr:uid="{00000000-0005-0000-0000-0000B1020000}"/>
    <cellStyle name="_TG-TH_1_Qt-HT3PQ1(CauKho)" xfId="652" xr:uid="{00000000-0005-0000-0000-0000B2020000}"/>
    <cellStyle name="_TG-TH_1_Qt-HT3PQ1(CauKho)_Du kien giai ngan cac du an den 30-6-16-OK" xfId="653" xr:uid="{00000000-0005-0000-0000-0000B3020000}"/>
    <cellStyle name="_TG-TH_1_Qt-HT3PQ1(CauKho)_thanh toan CND OK" xfId="654" xr:uid="{00000000-0005-0000-0000-0000B4020000}"/>
    <cellStyle name="_TG-TH_1_Qt-HT3PQ1(CauKho)_thanh toan Nhon Binh - AVAn" xfId="655" xr:uid="{00000000-0005-0000-0000-0000B5020000}"/>
    <cellStyle name="_TG-TH_1_Qt-HT3PQ1(CauKho)_ÿÿÿÿÿ" xfId="656" xr:uid="{00000000-0005-0000-0000-0000B6020000}"/>
    <cellStyle name="_TG-TH_1_QT-LCTP-AE" xfId="657" xr:uid="{00000000-0005-0000-0000-0000B7020000}"/>
    <cellStyle name="_TG-TH_1_QT-LONG MY tong-chinh thuc" xfId="658" xr:uid="{00000000-0005-0000-0000-0000B8020000}"/>
    <cellStyle name="_TG-TH_1_tuyenqlo24" xfId="661" xr:uid="{00000000-0005-0000-0000-0000B9020000}"/>
    <cellStyle name="_TG-TH_1_tuyenqlo24_Book1" xfId="662" xr:uid="{00000000-0005-0000-0000-0000BA020000}"/>
    <cellStyle name="_TG-TH_1_thanh toan CND OK" xfId="659" xr:uid="{00000000-0005-0000-0000-0000BB020000}"/>
    <cellStyle name="_TG-TH_1_thanh toan CND OK 2" xfId="2865" xr:uid="{00000000-0005-0000-0000-0000BC020000}"/>
    <cellStyle name="_TG-TH_1_thanh toan Nhon Binh - AVAn" xfId="660" xr:uid="{00000000-0005-0000-0000-0000BD020000}"/>
    <cellStyle name="_TG-TH_2" xfId="663" xr:uid="{00000000-0005-0000-0000-0000BE020000}"/>
    <cellStyle name="_TG-TH_2_BangMTC" xfId="664" xr:uid="{00000000-0005-0000-0000-0000BF020000}"/>
    <cellStyle name="_TG-TH_2_BangNC" xfId="665" xr:uid="{00000000-0005-0000-0000-0000C0020000}"/>
    <cellStyle name="_TG-TH_2_BAO CAO KLCT PT2000" xfId="666" xr:uid="{00000000-0005-0000-0000-0000C1020000}"/>
    <cellStyle name="_TG-TH_2_BAO CAO PT2000" xfId="667" xr:uid="{00000000-0005-0000-0000-0000C2020000}"/>
    <cellStyle name="_TG-TH_2_BAO CAO PT2000_Book1" xfId="668" xr:uid="{00000000-0005-0000-0000-0000C3020000}"/>
    <cellStyle name="_TG-TH_2_Bao cao XDCB 2001 - T11 KH dieu chinh 20-11-THAI" xfId="669" xr:uid="{00000000-0005-0000-0000-0000C4020000}"/>
    <cellStyle name="_TG-TH_2_Baocao1034" xfId="670" xr:uid="{00000000-0005-0000-0000-0000C5020000}"/>
    <cellStyle name="_TG-TH_2_Book1" xfId="671" xr:uid="{00000000-0005-0000-0000-0000C6020000}"/>
    <cellStyle name="_TG-TH_2_Book1_1" xfId="672" xr:uid="{00000000-0005-0000-0000-0000C7020000}"/>
    <cellStyle name="_TG-TH_2_Book1_2" xfId="673" xr:uid="{00000000-0005-0000-0000-0000C8020000}"/>
    <cellStyle name="_TG-TH_2_Book1_3" xfId="674" xr:uid="{00000000-0005-0000-0000-0000C9020000}"/>
    <cellStyle name="_TG-TH_2_Book1_3_Gia du thau  Truong KT-KT(Chot) " xfId="675" xr:uid="{00000000-0005-0000-0000-0000CA020000}"/>
    <cellStyle name="_TG-TH_2_Book1_3_May thi cong Groz " xfId="676" xr:uid="{00000000-0005-0000-0000-0000CB020000}"/>
    <cellStyle name="_TG-TH_2_Book1_4" xfId="677" xr:uid="{00000000-0005-0000-0000-0000CC020000}"/>
    <cellStyle name="_TG-TH_2_Book1_5" xfId="678" xr:uid="{00000000-0005-0000-0000-0000CD020000}"/>
    <cellStyle name="_TG-TH_2_Book1_Book1" xfId="679" xr:uid="{00000000-0005-0000-0000-0000CE020000}"/>
    <cellStyle name="_TG-TH_2_Book1_Book1_Gia du thau  Truong KT-KT(Chot) " xfId="680" xr:uid="{00000000-0005-0000-0000-0000CF020000}"/>
    <cellStyle name="_TG-TH_2_Book1_Book1_Gia du thau  Truong KT-KT(Chot) _Book1" xfId="681" xr:uid="{00000000-0005-0000-0000-0000D0020000}"/>
    <cellStyle name="_TG-TH_2_Book1_Book1_May thi cong Groz " xfId="682" xr:uid="{00000000-0005-0000-0000-0000D1020000}"/>
    <cellStyle name="_TG-TH_2_Book1_Book1_May thi cong Groz _Book1" xfId="683" xr:uid="{00000000-0005-0000-0000-0000D2020000}"/>
    <cellStyle name="_TG-TH_2_Book1_Du kien giai ngan cac du an den 30-6-16-OK" xfId="684" xr:uid="{00000000-0005-0000-0000-0000D3020000}"/>
    <cellStyle name="_TG-TH_2_Book1_Gia du thau  Truong KT-KT(Chot) " xfId="685" xr:uid="{00000000-0005-0000-0000-0000D4020000}"/>
    <cellStyle name="_TG-TH_2_Book1_May thi cong Groz " xfId="686" xr:uid="{00000000-0005-0000-0000-0000D5020000}"/>
    <cellStyle name="_TG-TH_2_Can Don moi da xong anh thuat" xfId="687" xr:uid="{00000000-0005-0000-0000-0000D6020000}"/>
    <cellStyle name="_TG-TH_2_DAU NOI PL-CL TAI PHU LAMHC" xfId="688" xr:uid="{00000000-0005-0000-0000-0000D7020000}"/>
    <cellStyle name="_TG-TH_2_DAU NOI PL-CL TAI PHU LAMHC 2" xfId="2866" xr:uid="{00000000-0005-0000-0000-0000D8020000}"/>
    <cellStyle name="_TG-TH_2_DAU NOI PL-CL TAI PHU LAMHC_thanh toan CND OK" xfId="689" xr:uid="{00000000-0005-0000-0000-0000D9020000}"/>
    <cellStyle name="_TG-TH_2_DAU NOI PL-CL TAI PHU LAMHC_thanh toan CND OK 2" xfId="2867" xr:uid="{00000000-0005-0000-0000-0000DA020000}"/>
    <cellStyle name="_TG-TH_2_DAU NOI PL-CL TAI PHU LAMHC_thanh toan Nhon Binh - AVAn" xfId="690" xr:uid="{00000000-0005-0000-0000-0000DB020000}"/>
    <cellStyle name="_TG-TH_2_Dcdtoan-bcnckt " xfId="691" xr:uid="{00000000-0005-0000-0000-0000DC020000}"/>
    <cellStyle name="_TG-TH_2_don gia KSat avuong" xfId="692" xr:uid="{00000000-0005-0000-0000-0000DD020000}"/>
    <cellStyle name="_TG-TH_2_DT Dieu chinh A.Lan" xfId="693" xr:uid="{00000000-0005-0000-0000-0000DE020000}"/>
    <cellStyle name="_TG-TH_2_DTCDT MR.2N110.HOCMON.TDTOAN.CCUNG" xfId="694" xr:uid="{00000000-0005-0000-0000-0000DF020000}"/>
    <cellStyle name="_TG-TH_2_Du kien giai ngan cac du an den 30-6-16-OK" xfId="695" xr:uid="{00000000-0005-0000-0000-0000E0020000}"/>
    <cellStyle name="_TG-TH_2_Du kien giai ngan cac du an den 30-6-16-OK 2" xfId="2868" xr:uid="{00000000-0005-0000-0000-0000E1020000}"/>
    <cellStyle name="_TG-TH_2_Goi5-PhuMy+P.Cat+Q.Nhon T.Toan+Q.toan" xfId="697" xr:uid="{00000000-0005-0000-0000-0000E2020000}"/>
    <cellStyle name="_TG-TH_2_Giaduthau" xfId="696" xr:uid="{00000000-0005-0000-0000-0000E3020000}"/>
    <cellStyle name="_TG-TH_2_Lora-tungchau" xfId="698" xr:uid="{00000000-0005-0000-0000-0000E4020000}"/>
    <cellStyle name="_TG-TH_2_Lora-tungchau_Du kien giai ngan cac du an den 30-6-16-OK" xfId="699" xr:uid="{00000000-0005-0000-0000-0000E5020000}"/>
    <cellStyle name="_TG-TH_2_Lora-tungchau_Du kien giai ngan cac du an den 30-6-16-OK 2" xfId="2869" xr:uid="{00000000-0005-0000-0000-0000E6020000}"/>
    <cellStyle name="_TG-TH_2_Lora-tungchau_thanh toan CND OK" xfId="700" xr:uid="{00000000-0005-0000-0000-0000E7020000}"/>
    <cellStyle name="_TG-TH_2_Lora-tungchau_thanh toan CND OK 2" xfId="2870" xr:uid="{00000000-0005-0000-0000-0000E8020000}"/>
    <cellStyle name="_TG-TH_2_Lora-tungchau_thanh toan Nhon Binh - AVAn" xfId="701" xr:uid="{00000000-0005-0000-0000-0000E9020000}"/>
    <cellStyle name="_TG-TH_2_PGIA-phieu tham tra Kho bac" xfId="702" xr:uid="{00000000-0005-0000-0000-0000EA020000}"/>
    <cellStyle name="_TG-TH_2_PT02-02" xfId="703" xr:uid="{00000000-0005-0000-0000-0000EB020000}"/>
    <cellStyle name="_TG-TH_2_PT02-02_Book1" xfId="704" xr:uid="{00000000-0005-0000-0000-0000EC020000}"/>
    <cellStyle name="_TG-TH_2_PT02-03" xfId="705" xr:uid="{00000000-0005-0000-0000-0000ED020000}"/>
    <cellStyle name="_TG-TH_2_PT02-03_Book1" xfId="706" xr:uid="{00000000-0005-0000-0000-0000EE020000}"/>
    <cellStyle name="_TG-TH_2_PTT thong tin" xfId="707" xr:uid="{00000000-0005-0000-0000-0000EF020000}"/>
    <cellStyle name="_TG-TH_2_Qt-HT3PQ1(CauKho)" xfId="708" xr:uid="{00000000-0005-0000-0000-0000F0020000}"/>
    <cellStyle name="_TG-TH_2_Qt-HT3PQ1(CauKho)_Du kien giai ngan cac du an den 30-6-16-OK" xfId="709" xr:uid="{00000000-0005-0000-0000-0000F1020000}"/>
    <cellStyle name="_TG-TH_2_Qt-HT3PQ1(CauKho)_thanh toan CND OK" xfId="710" xr:uid="{00000000-0005-0000-0000-0000F2020000}"/>
    <cellStyle name="_TG-TH_2_Qt-HT3PQ1(CauKho)_thanh toan Nhon Binh - AVAn" xfId="711" xr:uid="{00000000-0005-0000-0000-0000F3020000}"/>
    <cellStyle name="_TG-TH_2_Qt-HT3PQ1(CauKho)_ÿÿÿÿÿ" xfId="712" xr:uid="{00000000-0005-0000-0000-0000F4020000}"/>
    <cellStyle name="_TG-TH_2_QT-LCTP-AE" xfId="713" xr:uid="{00000000-0005-0000-0000-0000F5020000}"/>
    <cellStyle name="_TG-TH_2_QT-LONG MY tong-chinh thuc" xfId="714" xr:uid="{00000000-0005-0000-0000-0000F6020000}"/>
    <cellStyle name="_TG-TH_2_tuyenqlo24" xfId="717" xr:uid="{00000000-0005-0000-0000-0000F7020000}"/>
    <cellStyle name="_TG-TH_2_tuyenqlo24_Book1" xfId="718" xr:uid="{00000000-0005-0000-0000-0000F8020000}"/>
    <cellStyle name="_TG-TH_2_thanh toan CND OK" xfId="715" xr:uid="{00000000-0005-0000-0000-0000F9020000}"/>
    <cellStyle name="_TG-TH_2_thanh toan CND OK 2" xfId="2871" xr:uid="{00000000-0005-0000-0000-0000FA020000}"/>
    <cellStyle name="_TG-TH_2_thanh toan Nhon Binh - AVAn" xfId="716" xr:uid="{00000000-0005-0000-0000-0000FB020000}"/>
    <cellStyle name="_TG-TH_3" xfId="719" xr:uid="{00000000-0005-0000-0000-0000FC020000}"/>
    <cellStyle name="_TG-TH_3_BangMTC" xfId="720" xr:uid="{00000000-0005-0000-0000-0000FD020000}"/>
    <cellStyle name="_TG-TH_3_BangNC" xfId="721" xr:uid="{00000000-0005-0000-0000-0000FE020000}"/>
    <cellStyle name="_TG-TH_3_Baocao1034" xfId="722" xr:uid="{00000000-0005-0000-0000-0000FF020000}"/>
    <cellStyle name="_TG-TH_3_Du kien giai ngan cac du an den 30-6-16-OK" xfId="723" xr:uid="{00000000-0005-0000-0000-000000030000}"/>
    <cellStyle name="_TG-TH_3_Lora-tungchau" xfId="724" xr:uid="{00000000-0005-0000-0000-000001030000}"/>
    <cellStyle name="_TG-TH_3_Lora-tungchau_Du kien giai ngan cac du an den 30-6-16-OK" xfId="725" xr:uid="{00000000-0005-0000-0000-000002030000}"/>
    <cellStyle name="_TG-TH_3_Qt-HT3PQ1(CauKho)" xfId="726" xr:uid="{00000000-0005-0000-0000-000003030000}"/>
    <cellStyle name="_TG-TH_3_Qt-HT3PQ1(CauKho)_Du kien giai ngan cac du an den 30-6-16-OK" xfId="727" xr:uid="{00000000-0005-0000-0000-000004030000}"/>
    <cellStyle name="_TG-TH_3_Qt-HT3PQ1(CauKho)_thanh toan CND OK" xfId="728" xr:uid="{00000000-0005-0000-0000-000005030000}"/>
    <cellStyle name="_TG-TH_3_Qt-HT3PQ1(CauKho)_thanh toan Nhon Binh - AVAn" xfId="729" xr:uid="{00000000-0005-0000-0000-000006030000}"/>
    <cellStyle name="_TG-TH_3_Qt-HT3PQ1(CauKho)_ÿÿÿÿÿ" xfId="730" xr:uid="{00000000-0005-0000-0000-000007030000}"/>
    <cellStyle name="_TG-TH_3_Qt-HT3PQ1(CauKho)_ÿÿÿÿÿ 2" xfId="2872" xr:uid="{00000000-0005-0000-0000-000008030000}"/>
    <cellStyle name="_TG-TH_3_tuyenqlo24" xfId="731" xr:uid="{00000000-0005-0000-0000-000009030000}"/>
    <cellStyle name="_TG-TH_4" xfId="732" xr:uid="{00000000-0005-0000-0000-00000A030000}"/>
    <cellStyle name="_Tien luong hop dong 17.11" xfId="743" xr:uid="{00000000-0005-0000-0000-00000B030000}"/>
    <cellStyle name="_Tien luong hop dong 17.11_Book1" xfId="744" xr:uid="{00000000-0005-0000-0000-00000C030000}"/>
    <cellStyle name="_Tinh" xfId="745" xr:uid="{00000000-0005-0000-0000-00000D030000}"/>
    <cellStyle name="_Tong hop may cheu nganh 1" xfId="747" xr:uid="{00000000-0005-0000-0000-00000E030000}"/>
    <cellStyle name="_x0001__Tong hop- XLap" xfId="749" xr:uid="{00000000-0005-0000-0000-00000F030000}"/>
    <cellStyle name="_tổng hợp nhu cầu vật tư, thiết bị 6 tháng cuối năm kv2" xfId="748" xr:uid="{00000000-0005-0000-0000-000010030000}"/>
    <cellStyle name="_tờ trinh-lan" xfId="746" xr:uid="{00000000-0005-0000-0000-000011030000}"/>
    <cellStyle name="_TTBVP" xfId="750" xr:uid="{00000000-0005-0000-0000-000012030000}"/>
    <cellStyle name="_tuyenqlo24" xfId="751" xr:uid="{00000000-0005-0000-0000-000013030000}"/>
    <cellStyle name="_TH  PTM hang ngay" xfId="733" xr:uid="{00000000-0005-0000-0000-000014030000}"/>
    <cellStyle name="_TH BTST5 " xfId="734" xr:uid="{00000000-0005-0000-0000-000015030000}"/>
    <cellStyle name="_TH nhu cau Vtu, tbi 30.6.09" xfId="735" xr:uid="{00000000-0005-0000-0000-000016030000}"/>
    <cellStyle name="_thanh toan CND OK" xfId="736" xr:uid="{00000000-0005-0000-0000-000017030000}"/>
    <cellStyle name="_thanh toan CND OK_Book1" xfId="737" xr:uid="{00000000-0005-0000-0000-000018030000}"/>
    <cellStyle name="_thanh toan Nhon Binh - AVAn" xfId="738" xr:uid="{00000000-0005-0000-0000-000019030000}"/>
    <cellStyle name="_Theo doi BC KH15 tong KV2" xfId="739" xr:uid="{00000000-0005-0000-0000-00001A030000}"/>
    <cellStyle name="_THU-29-7" xfId="740" xr:uid="{00000000-0005-0000-0000-00001B030000}"/>
    <cellStyle name="_Thuc thu cuoc T12 ky 11 -ADSL (version 1)" xfId="741" xr:uid="{00000000-0005-0000-0000-00001C030000}"/>
    <cellStyle name="_thucnhap" xfId="742" xr:uid="{00000000-0005-0000-0000-00001D030000}"/>
    <cellStyle name="_ÿÿÿÿÿ" xfId="752" xr:uid="{00000000-0005-0000-0000-00001E030000}"/>
    <cellStyle name="_ÿÿÿÿÿ_Book1" xfId="753" xr:uid="{00000000-0005-0000-0000-00001F030000}"/>
    <cellStyle name="~1" xfId="754" xr:uid="{00000000-0005-0000-0000-000020030000}"/>
    <cellStyle name="_x0001_¨c^ " xfId="755" xr:uid="{00000000-0005-0000-0000-000021030000}"/>
    <cellStyle name="_x0001_¨c^[" xfId="756" xr:uid="{00000000-0005-0000-0000-000022030000}"/>
    <cellStyle name="_x0001_¨c^_" xfId="757" xr:uid="{00000000-0005-0000-0000-000023030000}"/>
    <cellStyle name="_x0001_¨Œc^ " xfId="758" xr:uid="{00000000-0005-0000-0000-000024030000}"/>
    <cellStyle name="_x0001_¨Œc^[" xfId="759" xr:uid="{00000000-0005-0000-0000-000025030000}"/>
    <cellStyle name="_x0001_¨Œc^_" xfId="760" xr:uid="{00000000-0005-0000-0000-000026030000}"/>
    <cellStyle name="’Ê‰Ý [0.00]_laroux" xfId="761" xr:uid="{00000000-0005-0000-0000-000027030000}"/>
    <cellStyle name="’Ê‰Ý_laroux" xfId="762" xr:uid="{00000000-0005-0000-0000-000028030000}"/>
    <cellStyle name="¤@¯ë_pldt" xfId="763" xr:uid="{00000000-0005-0000-0000-000029030000}"/>
    <cellStyle name="_x0001_µÑTÖ " xfId="764" xr:uid="{00000000-0005-0000-0000-00002A030000}"/>
    <cellStyle name="_x0001_µÑTÖ_" xfId="765" xr:uid="{00000000-0005-0000-0000-00002B030000}"/>
    <cellStyle name="•W?_Format" xfId="766" xr:uid="{00000000-0005-0000-0000-00002C030000}"/>
    <cellStyle name="•W€_¯–ì" xfId="767" xr:uid="{00000000-0005-0000-0000-00002D030000}"/>
    <cellStyle name="•W_¯–ì" xfId="768" xr:uid="{00000000-0005-0000-0000-00002E030000}"/>
    <cellStyle name="W_BxiXg (2)" xfId="769" xr:uid="{00000000-0005-0000-0000-00002F030000}"/>
    <cellStyle name="0" xfId="770" xr:uid="{00000000-0005-0000-0000-000030030000}"/>
    <cellStyle name="0,0_x000d__x000a_NA_x000d__x000a_" xfId="771" xr:uid="{00000000-0005-0000-0000-000031030000}"/>
    <cellStyle name="0.0" xfId="772" xr:uid="{00000000-0005-0000-0000-000032030000}"/>
    <cellStyle name="0.00" xfId="773" xr:uid="{00000000-0005-0000-0000-000033030000}"/>
    <cellStyle name="0_Book1" xfId="774" xr:uid="{00000000-0005-0000-0000-000034030000}"/>
    <cellStyle name="1" xfId="775" xr:uid="{00000000-0005-0000-0000-000035030000}"/>
    <cellStyle name="1_A che do KS +chi BQL" xfId="776" xr:uid="{00000000-0005-0000-0000-000036030000}"/>
    <cellStyle name="1_Arial_16" xfId="777" xr:uid="{00000000-0005-0000-0000-000037030000}"/>
    <cellStyle name="1_BANG CAM COC GPMB 8km" xfId="778" xr:uid="{00000000-0005-0000-0000-000038030000}"/>
    <cellStyle name="1_BANG CAM COC GPMB 8km_Book1" xfId="779" xr:uid="{00000000-0005-0000-0000-000039030000}"/>
    <cellStyle name="1_Bang don gia du thau can don goi so 1 in- gui" xfId="780" xr:uid="{00000000-0005-0000-0000-00003A030000}"/>
    <cellStyle name="1_Bang tong hop khoi luong" xfId="781" xr:uid="{00000000-0005-0000-0000-00003B030000}"/>
    <cellStyle name="1_báo cao 09" xfId="782" xr:uid="{00000000-0005-0000-0000-00003C030000}"/>
    <cellStyle name="1_Baocao1034" xfId="783" xr:uid="{00000000-0005-0000-0000-00003D030000}"/>
    <cellStyle name="1_Book1" xfId="784" xr:uid="{00000000-0005-0000-0000-00003E030000}"/>
    <cellStyle name="1_Book1_1" xfId="785" xr:uid="{00000000-0005-0000-0000-00003F030000}"/>
    <cellStyle name="1_Book1_1_BCKT-NHNN-8-4-10 " xfId="786" xr:uid="{00000000-0005-0000-0000-000040030000}"/>
    <cellStyle name="1_Book1_1_BCKT-NHNN-8-4-10 _Book1" xfId="787" xr:uid="{00000000-0005-0000-0000-000041030000}"/>
    <cellStyle name="1_Book1_1_Book1" xfId="788" xr:uid="{00000000-0005-0000-0000-000042030000}"/>
    <cellStyle name="1_Book1_1_Du kien giai ngan cac du an den 30-6-16-OK" xfId="789" xr:uid="{00000000-0005-0000-0000-000043030000}"/>
    <cellStyle name="1_Book1_1_Du kien giai ngan cac du an den 30-6-16-OK_Book1" xfId="790" xr:uid="{00000000-0005-0000-0000-000044030000}"/>
    <cellStyle name="1_Book1_1_MK-TK" xfId="791" xr:uid="{00000000-0005-0000-0000-000045030000}"/>
    <cellStyle name="1_Book1_1_MK-TK_Book1" xfId="792" xr:uid="{00000000-0005-0000-0000-000046030000}"/>
    <cellStyle name="1_Book1_2_BCKT-NHNN-8-4-10 " xfId="793" xr:uid="{00000000-0005-0000-0000-000047030000}"/>
    <cellStyle name="1_Book1_Book1" xfId="794" xr:uid="{00000000-0005-0000-0000-000048030000}"/>
    <cellStyle name="1_Book1_Book1_1" xfId="795" xr:uid="{00000000-0005-0000-0000-000049030000}"/>
    <cellStyle name="1_Book1_Book1_BCKT-NHNN-8-4-10 " xfId="796" xr:uid="{00000000-0005-0000-0000-00004A030000}"/>
    <cellStyle name="1_Book1_Book1_Book1" xfId="797" xr:uid="{00000000-0005-0000-0000-00004B030000}"/>
    <cellStyle name="1_Book1_CAU XOP XANG II(su­a)" xfId="798" xr:uid="{00000000-0005-0000-0000-00004C030000}"/>
    <cellStyle name="1_Book1_CAU XOP XANG II(su­a)_Book1" xfId="799" xr:uid="{00000000-0005-0000-0000-00004D030000}"/>
    <cellStyle name="1_Book1_Dieu phoi dat goi 1" xfId="800" xr:uid="{00000000-0005-0000-0000-00004E030000}"/>
    <cellStyle name="1_Book1_Dieu phoi dat goi 2" xfId="801" xr:uid="{00000000-0005-0000-0000-00004F030000}"/>
    <cellStyle name="1_Book1_DT Kha thi ngay 11-2-06" xfId="802" xr:uid="{00000000-0005-0000-0000-000050030000}"/>
    <cellStyle name="1_Book1_DT Kha thi ngay 11-2-06_Book1" xfId="803" xr:uid="{00000000-0005-0000-0000-000051030000}"/>
    <cellStyle name="1_Book1_DT ngay 04-01-2006" xfId="804" xr:uid="{00000000-0005-0000-0000-000052030000}"/>
    <cellStyle name="1_Book1_DT ngay 11-4-2006" xfId="805" xr:uid="{00000000-0005-0000-0000-000053030000}"/>
    <cellStyle name="1_Book1_DT ngay 15-11-05" xfId="806" xr:uid="{00000000-0005-0000-0000-000054030000}"/>
    <cellStyle name="1_Book1_DT ngay 15-11-05_Book1" xfId="807" xr:uid="{00000000-0005-0000-0000-000055030000}"/>
    <cellStyle name="1_Book1_Du toan KT-TCsua theo TT 03 - YC 471" xfId="808" xr:uid="{00000000-0005-0000-0000-000056030000}"/>
    <cellStyle name="1_Book1_Du toan Phuong lam" xfId="809" xr:uid="{00000000-0005-0000-0000-000057030000}"/>
    <cellStyle name="1_Book1_Du toan Phuong lam_Book1" xfId="810" xr:uid="{00000000-0005-0000-0000-000058030000}"/>
    <cellStyle name="1_Book1_Du toan QL 27 (23-12-2005)" xfId="811" xr:uid="{00000000-0005-0000-0000-000059030000}"/>
    <cellStyle name="1_Book1_DuAnKT ngay 11-2-2006" xfId="812" xr:uid="{00000000-0005-0000-0000-00005A030000}"/>
    <cellStyle name="1_Book1_Goi 1" xfId="813" xr:uid="{00000000-0005-0000-0000-00005B030000}"/>
    <cellStyle name="1_Book1_Goi thau so 2 (20-6-2006)" xfId="814" xr:uid="{00000000-0005-0000-0000-00005C030000}"/>
    <cellStyle name="1_Book1_Goi thau so 2 (20-6-2006)_Book1" xfId="815" xr:uid="{00000000-0005-0000-0000-00005D030000}"/>
    <cellStyle name="1_Book1_Goi02(25-05-2006)" xfId="816" xr:uid="{00000000-0005-0000-0000-00005E030000}"/>
    <cellStyle name="1_Book1_HC  QNM009(van dc1)" xfId="817" xr:uid="{00000000-0005-0000-0000-00005F030000}"/>
    <cellStyle name="1_Book1_K C N - HUNG DONG L.NHUA" xfId="818" xr:uid="{00000000-0005-0000-0000-000060030000}"/>
    <cellStyle name="1_Book1_K C N - HUNG DONG L.NHUA_Book1" xfId="819" xr:uid="{00000000-0005-0000-0000-000061030000}"/>
    <cellStyle name="1_Book1_KH hoach keo quang thang 5" xfId="820" xr:uid="{00000000-0005-0000-0000-000062030000}"/>
    <cellStyle name="1_Book1_Khoi Luong Hoang Truong - Hoang Phu" xfId="821" xr:uid="{00000000-0005-0000-0000-000063030000}"/>
    <cellStyle name="1_Book1_Khoi Luong Hoang Truong - Hoang Phu_Book1" xfId="822" xr:uid="{00000000-0005-0000-0000-000064030000}"/>
    <cellStyle name="1_Book1_Muong TL" xfId="823" xr:uid="{00000000-0005-0000-0000-000065030000}"/>
    <cellStyle name="1_Book1_Tuyen so 1-Km0+00 - Km0+852.56" xfId="824" xr:uid="{00000000-0005-0000-0000-000066030000}"/>
    <cellStyle name="1_C" xfId="825" xr:uid="{00000000-0005-0000-0000-000067030000}"/>
    <cellStyle name="1_Cau Daknong goi 14(21-5-09)" xfId="826" xr:uid="{00000000-0005-0000-0000-000068030000}"/>
    <cellStyle name="1_Cau Hua Trai (TT 04)" xfId="827" xr:uid="{00000000-0005-0000-0000-000069030000}"/>
    <cellStyle name="1_Cau Thanh Ha 1" xfId="828" xr:uid="{00000000-0005-0000-0000-00006A030000}"/>
    <cellStyle name="1_Cau thuy dien Ban La (Cu Anh)" xfId="829" xr:uid="{00000000-0005-0000-0000-00006B030000}"/>
    <cellStyle name="1_Cau thuy dien Ban La (Cu Anh)_BCKT-NHNN-8-4-10 " xfId="830" xr:uid="{00000000-0005-0000-0000-00006C030000}"/>
    <cellStyle name="1_Cau thuy dien Ban La (Cu Anh)_BCKT-NHNN-8-4-10 _Book1" xfId="831" xr:uid="{00000000-0005-0000-0000-00006D030000}"/>
    <cellStyle name="1_Cau thuy dien Ban La (Cu Anh)_Book1" xfId="832" xr:uid="{00000000-0005-0000-0000-00006E030000}"/>
    <cellStyle name="1_Cau thuy dien Ban La (Cu Anh)_Du kien giai ngan cac du an den 30-6-16-OK" xfId="833" xr:uid="{00000000-0005-0000-0000-00006F030000}"/>
    <cellStyle name="1_Cau thuy dien Ban La (Cu Anh)_Du kien giai ngan cac du an den 30-6-16-OK_Book1" xfId="834" xr:uid="{00000000-0005-0000-0000-000070030000}"/>
    <cellStyle name="1_Cau thuy dien Ban La (Cu Anh)_MK-TK" xfId="835" xr:uid="{00000000-0005-0000-0000-000071030000}"/>
    <cellStyle name="1_Cau thuy dien Ban La (Cu Anh)_MK-TK_Book1" xfId="836" xr:uid="{00000000-0005-0000-0000-000072030000}"/>
    <cellStyle name="1_CAU XOP XANG II(su­a)" xfId="837" xr:uid="{00000000-0005-0000-0000-000073030000}"/>
    <cellStyle name="1_cong" xfId="839" xr:uid="{00000000-0005-0000-0000-000074030000}"/>
    <cellStyle name="1_Copy of khoi luong 1nhips1 " xfId="840" xr:uid="{00000000-0005-0000-0000-000075030000}"/>
    <cellStyle name="1_Chi phi KS" xfId="838" xr:uid="{00000000-0005-0000-0000-000076030000}"/>
    <cellStyle name="1_Dakt-Cau tinh Hua Phan" xfId="841" xr:uid="{00000000-0005-0000-0000-000077030000}"/>
    <cellStyle name="1_danh_ba_DT_cac_Tinh" xfId="842" xr:uid="{00000000-0005-0000-0000-000078030000}"/>
    <cellStyle name="1_DIEN" xfId="843" xr:uid="{00000000-0005-0000-0000-000079030000}"/>
    <cellStyle name="1_Dieu phoi dat goi 1" xfId="844" xr:uid="{00000000-0005-0000-0000-00007A030000}"/>
    <cellStyle name="1_Dieu phoi dat goi 1_Book1" xfId="845" xr:uid="{00000000-0005-0000-0000-00007B030000}"/>
    <cellStyle name="1_Dieu phoi dat goi 2" xfId="846" xr:uid="{00000000-0005-0000-0000-00007C030000}"/>
    <cellStyle name="1_Dieu phoi dat goi 2_Book1" xfId="847" xr:uid="{00000000-0005-0000-0000-00007D030000}"/>
    <cellStyle name="1_Dinh muc thiet ke" xfId="848" xr:uid="{00000000-0005-0000-0000-00007E030000}"/>
    <cellStyle name="1_DONGIA" xfId="849" xr:uid="{00000000-0005-0000-0000-00007F030000}"/>
    <cellStyle name="1_DT KT ngay 10-9-2005" xfId="851" xr:uid="{00000000-0005-0000-0000-000080030000}"/>
    <cellStyle name="1_DT Kha thi ngay 11-2-06" xfId="850" xr:uid="{00000000-0005-0000-0000-000081030000}"/>
    <cellStyle name="1_DT ngay 04-01-2006" xfId="852" xr:uid="{00000000-0005-0000-0000-000082030000}"/>
    <cellStyle name="1_DT ngay 04-01-2006_Book1" xfId="853" xr:uid="{00000000-0005-0000-0000-000083030000}"/>
    <cellStyle name="1_DT ngay 11-4-2006" xfId="854" xr:uid="{00000000-0005-0000-0000-000084030000}"/>
    <cellStyle name="1_DT ngay 11-4-2006_Book1" xfId="855" xr:uid="{00000000-0005-0000-0000-000085030000}"/>
    <cellStyle name="1_DT ngay 15-11-05" xfId="856" xr:uid="{00000000-0005-0000-0000-000086030000}"/>
    <cellStyle name="1_DTXL goi 11(20-9-05)" xfId="857" xr:uid="{00000000-0005-0000-0000-000087030000}"/>
    <cellStyle name="1_Du Lieu ADSL Va PSTN" xfId="858" xr:uid="{00000000-0005-0000-0000-000088030000}"/>
    <cellStyle name="1_du toan" xfId="859" xr:uid="{00000000-0005-0000-0000-000089030000}"/>
    <cellStyle name="1_du toan (03-11-05)" xfId="860" xr:uid="{00000000-0005-0000-0000-00008A030000}"/>
    <cellStyle name="1_Du toan (12-05-2005) Tham dinh" xfId="861" xr:uid="{00000000-0005-0000-0000-00008B030000}"/>
    <cellStyle name="1_Du toan (12-05-2005) Tham dinh_Book1" xfId="862" xr:uid="{00000000-0005-0000-0000-00008C030000}"/>
    <cellStyle name="1_Du toan (23-05-2005) Tham dinh" xfId="863" xr:uid="{00000000-0005-0000-0000-00008D030000}"/>
    <cellStyle name="1_Du toan (23-05-2005) Tham dinh_Book1" xfId="864" xr:uid="{00000000-0005-0000-0000-00008E030000}"/>
    <cellStyle name="1_Du toan (5 - 04 - 2004)" xfId="865" xr:uid="{00000000-0005-0000-0000-00008F030000}"/>
    <cellStyle name="1_Du toan (5 - 04 - 2004)_Book1" xfId="866" xr:uid="{00000000-0005-0000-0000-000090030000}"/>
    <cellStyle name="1_Du toan (6-3-2005)" xfId="867" xr:uid="{00000000-0005-0000-0000-000091030000}"/>
    <cellStyle name="1_Du toan (Ban A)" xfId="868" xr:uid="{00000000-0005-0000-0000-000092030000}"/>
    <cellStyle name="1_Du toan (Ban A)_Book1" xfId="869" xr:uid="{00000000-0005-0000-0000-000093030000}"/>
    <cellStyle name="1_Du toan (ngay 13 - 07 - 2004)" xfId="870" xr:uid="{00000000-0005-0000-0000-000094030000}"/>
    <cellStyle name="1_Du toan (ngay 13 - 07 - 2004)_Book1" xfId="871" xr:uid="{00000000-0005-0000-0000-000095030000}"/>
    <cellStyle name="1_Du toan 558 (Km17+508.12 - Km 22)" xfId="872" xr:uid="{00000000-0005-0000-0000-000096030000}"/>
    <cellStyle name="1_Du toan 558 (Km17+508.12 - Km 22)_BCKT-NHNN-8-4-10 " xfId="873" xr:uid="{00000000-0005-0000-0000-000097030000}"/>
    <cellStyle name="1_Du toan 558 (Km17+508.12 - Km 22)_BCKT-NHNN-8-4-10 _Book1" xfId="874" xr:uid="{00000000-0005-0000-0000-000098030000}"/>
    <cellStyle name="1_Du toan 558 (Km17+508.12 - Km 22)_Book1" xfId="875" xr:uid="{00000000-0005-0000-0000-000099030000}"/>
    <cellStyle name="1_Du toan 558 (Km17+508.12 - Km 22)_Du kien giai ngan cac du an den 30-6-16-OK" xfId="876" xr:uid="{00000000-0005-0000-0000-00009A030000}"/>
    <cellStyle name="1_Du toan 558 (Km17+508.12 - Km 22)_Du kien giai ngan cac du an den 30-6-16-OK_Book1" xfId="877" xr:uid="{00000000-0005-0000-0000-00009B030000}"/>
    <cellStyle name="1_Du toan 558 (Km17+508.12 - Km 22)_MK-TK" xfId="878" xr:uid="{00000000-0005-0000-0000-00009C030000}"/>
    <cellStyle name="1_Du toan 558 (Km17+508.12 - Km 22)_MK-TK_Book1" xfId="879" xr:uid="{00000000-0005-0000-0000-00009D030000}"/>
    <cellStyle name="1_Du toan bo sung (11-2004)" xfId="880" xr:uid="{00000000-0005-0000-0000-00009E030000}"/>
    <cellStyle name="1_Du toan Cang Vung Ang ngay 09-8-06 " xfId="881" xr:uid="{00000000-0005-0000-0000-00009F030000}"/>
    <cellStyle name="1_Du toan Cang Vung Ang ngay 09-8-06 _Book1" xfId="882" xr:uid="{00000000-0005-0000-0000-0000A0030000}"/>
    <cellStyle name="1_Du toan Goi 1" xfId="883" xr:uid="{00000000-0005-0000-0000-0000A1030000}"/>
    <cellStyle name="1_Du toan Goi 1_Book1" xfId="884" xr:uid="{00000000-0005-0000-0000-0000A2030000}"/>
    <cellStyle name="1_du toan goi 12" xfId="885" xr:uid="{00000000-0005-0000-0000-0000A3030000}"/>
    <cellStyle name="1_Du toan Goi 2" xfId="886" xr:uid="{00000000-0005-0000-0000-0000A4030000}"/>
    <cellStyle name="1_Du toan Goi 2_Book1" xfId="887" xr:uid="{00000000-0005-0000-0000-0000A5030000}"/>
    <cellStyle name="1_Du toan KT-TCsua theo TT 03 - YC 471" xfId="888" xr:uid="{00000000-0005-0000-0000-0000A6030000}"/>
    <cellStyle name="1_Du toan KT-TCsua theo TT 03 - YC 471_Book1" xfId="889" xr:uid="{00000000-0005-0000-0000-0000A7030000}"/>
    <cellStyle name="1_Du toan ngay (28-10-2005)" xfId="890" xr:uid="{00000000-0005-0000-0000-0000A8030000}"/>
    <cellStyle name="1_Du toan ngay (28-10-2005)_Book1" xfId="891" xr:uid="{00000000-0005-0000-0000-0000A9030000}"/>
    <cellStyle name="1_Du toan ngay 1-9-2004 (version 1)" xfId="892" xr:uid="{00000000-0005-0000-0000-0000AA030000}"/>
    <cellStyle name="1_Du toan ngay 1-9-2004 (version 1)_Book1" xfId="893" xr:uid="{00000000-0005-0000-0000-0000AB030000}"/>
    <cellStyle name="1_Du toan Phuong lam" xfId="894" xr:uid="{00000000-0005-0000-0000-0000AC030000}"/>
    <cellStyle name="1_Du toan QL 27 (23-12-2005)" xfId="895" xr:uid="{00000000-0005-0000-0000-0000AD030000}"/>
    <cellStyle name="1_Du toan QL 27 (23-12-2005)_Book1" xfId="896" xr:uid="{00000000-0005-0000-0000-0000AE030000}"/>
    <cellStyle name="1_du toan qnm184" xfId="897" xr:uid="{00000000-0005-0000-0000-0000AF030000}"/>
    <cellStyle name="1_DuAnKT ngay 11-2-2006" xfId="898" xr:uid="{00000000-0005-0000-0000-0000B0030000}"/>
    <cellStyle name="1_DuAnKT ngay 11-2-2006_Book1" xfId="899" xr:uid="{00000000-0005-0000-0000-0000B1030000}"/>
    <cellStyle name="1_goi 1" xfId="920" xr:uid="{00000000-0005-0000-0000-0000B2030000}"/>
    <cellStyle name="1_Goi 1 (TT04)" xfId="921" xr:uid="{00000000-0005-0000-0000-0000B3030000}"/>
    <cellStyle name="1_goi 1 duyet theo luong mo (an)" xfId="922" xr:uid="{00000000-0005-0000-0000-0000B4030000}"/>
    <cellStyle name="1_Goi 1_1" xfId="923" xr:uid="{00000000-0005-0000-0000-0000B5030000}"/>
    <cellStyle name="1_Goi 1_1_Book1" xfId="924" xr:uid="{00000000-0005-0000-0000-0000B6030000}"/>
    <cellStyle name="1_Goi so 1" xfId="925" xr:uid="{00000000-0005-0000-0000-0000B7030000}"/>
    <cellStyle name="1_Goi thau so 2 (20-6-2006)" xfId="926" xr:uid="{00000000-0005-0000-0000-0000B8030000}"/>
    <cellStyle name="1_Goi02(25-05-2006)" xfId="927" xr:uid="{00000000-0005-0000-0000-0000B9030000}"/>
    <cellStyle name="1_Goi02(25-05-2006)_Book1" xfId="928" xr:uid="{00000000-0005-0000-0000-0000BA030000}"/>
    <cellStyle name="1_Goi1N206" xfId="929" xr:uid="{00000000-0005-0000-0000-0000BB030000}"/>
    <cellStyle name="1_Goi1N206_Book1" xfId="930" xr:uid="{00000000-0005-0000-0000-0000BC030000}"/>
    <cellStyle name="1_Goi2N206" xfId="931" xr:uid="{00000000-0005-0000-0000-0000BD030000}"/>
    <cellStyle name="1_Goi2N206_Book1" xfId="932" xr:uid="{00000000-0005-0000-0000-0000BE030000}"/>
    <cellStyle name="1_Goi4N216" xfId="933" xr:uid="{00000000-0005-0000-0000-0000BF030000}"/>
    <cellStyle name="1_Goi4N216_Book1" xfId="934" xr:uid="{00000000-0005-0000-0000-0000C0030000}"/>
    <cellStyle name="1_Goi5N216" xfId="935" xr:uid="{00000000-0005-0000-0000-0000C1030000}"/>
    <cellStyle name="1_Goi5N216_Book1" xfId="936" xr:uid="{00000000-0005-0000-0000-0000C2030000}"/>
    <cellStyle name="1_Gia_VL cau-JIBIC-Ha-tinh" xfId="900" xr:uid="{00000000-0005-0000-0000-0000C3030000}"/>
    <cellStyle name="1_Gia_VL cau-JIBIC-Ha-tinh_Book1" xfId="901" xr:uid="{00000000-0005-0000-0000-0000C4030000}"/>
    <cellStyle name="1_Gia_VL cau-JIBIC-Ha-tinh_Du kien giai ngan cac du an den 30-6-16-OK" xfId="902" xr:uid="{00000000-0005-0000-0000-0000C5030000}"/>
    <cellStyle name="1_Gia_VL cau-JIBIC-Ha-tinh_Du kien giai ngan cac du an den 30-6-16-OK_Book1" xfId="903" xr:uid="{00000000-0005-0000-0000-0000C6030000}"/>
    <cellStyle name="1_Gia_VL cau-JIBIC-Ha-tinh_MK-TK" xfId="904" xr:uid="{00000000-0005-0000-0000-0000C7030000}"/>
    <cellStyle name="1_Gia_VL cau-JIBIC-Ha-tinh_MK-TK_Book1" xfId="905" xr:uid="{00000000-0005-0000-0000-0000C8030000}"/>
    <cellStyle name="1_Gia_VLQL48_duyet " xfId="906" xr:uid="{00000000-0005-0000-0000-0000C9030000}"/>
    <cellStyle name="1_Gia_VLQL48_duyet _BCKT-NHNN-8-4-10 " xfId="907" xr:uid="{00000000-0005-0000-0000-0000CA030000}"/>
    <cellStyle name="1_Gia_VLQL48_duyet _BCKT-NHNN-8-4-10 _Book1" xfId="908" xr:uid="{00000000-0005-0000-0000-0000CB030000}"/>
    <cellStyle name="1_Gia_VLQL48_duyet _Book1" xfId="909" xr:uid="{00000000-0005-0000-0000-0000CC030000}"/>
    <cellStyle name="1_Gia_VLQL48_duyet _Du kien giai ngan cac du an den 30-6-16-OK" xfId="910" xr:uid="{00000000-0005-0000-0000-0000CD030000}"/>
    <cellStyle name="1_Gia_VLQL48_duyet _Du kien giai ngan cac du an den 30-6-16-OK_Book1" xfId="911" xr:uid="{00000000-0005-0000-0000-0000CE030000}"/>
    <cellStyle name="1_Gia_VLQL48_duyet _Mau c3-01-NS" xfId="912" xr:uid="{00000000-0005-0000-0000-0000CF030000}"/>
    <cellStyle name="1_Gia_VLQL48_duyet _Mau c3-01-NS_Book1" xfId="913" xr:uid="{00000000-0005-0000-0000-0000D0030000}"/>
    <cellStyle name="1_Gia_VLQL48_duyet _Mau c3-01-NS_MK-TK" xfId="914" xr:uid="{00000000-0005-0000-0000-0000D1030000}"/>
    <cellStyle name="1_Gia_VLQL48_duyet _Mau c3-01-NS_MK-TK_Book1" xfId="915" xr:uid="{00000000-0005-0000-0000-0000D2030000}"/>
    <cellStyle name="1_Gia_VLQL48_duyet _MK-TK" xfId="916" xr:uid="{00000000-0005-0000-0000-0000D3030000}"/>
    <cellStyle name="1_Gia_VLQL48_duyet _MK-TK_Book1" xfId="917" xr:uid="{00000000-0005-0000-0000-0000D4030000}"/>
    <cellStyle name="1_Gia_VLQL48_duyet _THDA MyKhe-TraKhuc (Km35-Km47) - 280213 (Dot 3)" xfId="918" xr:uid="{00000000-0005-0000-0000-0000D5030000}"/>
    <cellStyle name="1_Gia_VLQL48_duyet _THDA MyKhe-TraKhuc (Km35-Km47) - 280213 (Dot 3)_Book1" xfId="919" xr:uid="{00000000-0005-0000-0000-0000D6030000}"/>
    <cellStyle name="1_HC  QNM009(van dc1)" xfId="937" xr:uid="{00000000-0005-0000-0000-0000D7030000}"/>
    <cellStyle name="1_Hoi Song" xfId="938" xr:uid="{00000000-0005-0000-0000-0000D8030000}"/>
    <cellStyle name="1_HT-LO" xfId="939" xr:uid="{00000000-0005-0000-0000-0000D9030000}"/>
    <cellStyle name="1_HT-LO_Book1" xfId="940" xr:uid="{00000000-0005-0000-0000-0000DA030000}"/>
    <cellStyle name="1_KE HOACH DI TINH thang 10-2007" xfId="941" xr:uid="{00000000-0005-0000-0000-0000DB030000}"/>
    <cellStyle name="1_kl cau NAM KE " xfId="948" xr:uid="{00000000-0005-0000-0000-0000DC030000}"/>
    <cellStyle name="1_Kl6-6-05" xfId="949" xr:uid="{00000000-0005-0000-0000-0000DD030000}"/>
    <cellStyle name="1_Klnutgiao" xfId="950" xr:uid="{00000000-0005-0000-0000-0000DE030000}"/>
    <cellStyle name="1_KLPA2s" xfId="951" xr:uid="{00000000-0005-0000-0000-0000DF030000}"/>
    <cellStyle name="1_KlQdinhduyet" xfId="952" xr:uid="{00000000-0005-0000-0000-0000E0030000}"/>
    <cellStyle name="1_KlQdinhduyet_BCKT-NHNN-8-4-10 " xfId="953" xr:uid="{00000000-0005-0000-0000-0000E1030000}"/>
    <cellStyle name="1_KlQdinhduyet_BCKT-NHNN-8-4-10 _Book1" xfId="954" xr:uid="{00000000-0005-0000-0000-0000E2030000}"/>
    <cellStyle name="1_KlQdinhduyet_Book1" xfId="955" xr:uid="{00000000-0005-0000-0000-0000E3030000}"/>
    <cellStyle name="1_KlQdinhduyet_Du kien giai ngan cac du an den 30-6-16-OK" xfId="956" xr:uid="{00000000-0005-0000-0000-0000E4030000}"/>
    <cellStyle name="1_KlQdinhduyet_Du kien giai ngan cac du an den 30-6-16-OK_Book1" xfId="957" xr:uid="{00000000-0005-0000-0000-0000E5030000}"/>
    <cellStyle name="1_KlQdinhduyet_MK-TK" xfId="958" xr:uid="{00000000-0005-0000-0000-0000E6030000}"/>
    <cellStyle name="1_KlQdinhduyet_MK-TK_Book1" xfId="959" xr:uid="{00000000-0005-0000-0000-0000E7030000}"/>
    <cellStyle name="1_KlQL4goi5KCS" xfId="960" xr:uid="{00000000-0005-0000-0000-0000E8030000}"/>
    <cellStyle name="1_Kltayth" xfId="961" xr:uid="{00000000-0005-0000-0000-0000E9030000}"/>
    <cellStyle name="1_KltaythQDduyet" xfId="962" xr:uid="{00000000-0005-0000-0000-0000EA030000}"/>
    <cellStyle name="1_Kluong4-2004" xfId="963" xr:uid="{00000000-0005-0000-0000-0000EB030000}"/>
    <cellStyle name="1_Kluong4-2004_Book1" xfId="964" xr:uid="{00000000-0005-0000-0000-0000EC030000}"/>
    <cellStyle name="1_Khoi luong" xfId="942" xr:uid="{00000000-0005-0000-0000-0000ED030000}"/>
    <cellStyle name="1_Khoi luong doan 1" xfId="943" xr:uid="{00000000-0005-0000-0000-0000EE030000}"/>
    <cellStyle name="1_Khoi luong doan 1_Book1" xfId="944" xr:uid="{00000000-0005-0000-0000-0000EF030000}"/>
    <cellStyle name="1_Khoi Luong Hoang Truong - Hoang Phu" xfId="945" xr:uid="{00000000-0005-0000-0000-0000F0030000}"/>
    <cellStyle name="1_Khoi Luong Hoang Truong - Hoang Phu_Book1" xfId="946" xr:uid="{00000000-0005-0000-0000-0000F1030000}"/>
    <cellStyle name="1_Khoi luong_Book1" xfId="947" xr:uid="{00000000-0005-0000-0000-0000F2030000}"/>
    <cellStyle name="1_Luong A6" xfId="965" xr:uid="{00000000-0005-0000-0000-0000F3030000}"/>
    <cellStyle name="1_Mau 2" xfId="966" xr:uid="{00000000-0005-0000-0000-0000F4030000}"/>
    <cellStyle name="1_maugiacotaluy" xfId="967" xr:uid="{00000000-0005-0000-0000-0000F5030000}"/>
    <cellStyle name="1_My Thanh Son Thanh" xfId="968" xr:uid="{00000000-0005-0000-0000-0000F6030000}"/>
    <cellStyle name="1_Nhom I" xfId="969" xr:uid="{00000000-0005-0000-0000-0000F7030000}"/>
    <cellStyle name="1_Nhom I_Book1" xfId="970" xr:uid="{00000000-0005-0000-0000-0000F8030000}"/>
    <cellStyle name="1_PLTD2012" xfId="971" xr:uid="{00000000-0005-0000-0000-0000F9030000}"/>
    <cellStyle name="1_Project N.Du" xfId="972" xr:uid="{00000000-0005-0000-0000-0000FA030000}"/>
    <cellStyle name="1_Project N.Du.dien" xfId="973" xr:uid="{00000000-0005-0000-0000-0000FB030000}"/>
    <cellStyle name="1_Project N.Du_Book1" xfId="974" xr:uid="{00000000-0005-0000-0000-0000FC030000}"/>
    <cellStyle name="1_Project QL4" xfId="975" xr:uid="{00000000-0005-0000-0000-0000FD030000}"/>
    <cellStyle name="1_Project QL4 goi 7" xfId="976" xr:uid="{00000000-0005-0000-0000-0000FE030000}"/>
    <cellStyle name="1_Project QL4 goi 7_Book1" xfId="977" xr:uid="{00000000-0005-0000-0000-0000FF030000}"/>
    <cellStyle name="1_Project QL4 goi5" xfId="978" xr:uid="{00000000-0005-0000-0000-000000040000}"/>
    <cellStyle name="1_Project QL4 goi8" xfId="979" xr:uid="{00000000-0005-0000-0000-000001040000}"/>
    <cellStyle name="1_QL1A-SUA2005" xfId="980" xr:uid="{00000000-0005-0000-0000-000002040000}"/>
    <cellStyle name="1_QL1A-SUA2005_Book1" xfId="981" xr:uid="{00000000-0005-0000-0000-000003040000}"/>
    <cellStyle name="1_QNM UCTT T3.2009_doi 4" xfId="982" xr:uid="{00000000-0005-0000-0000-000004040000}"/>
    <cellStyle name="1_Sheet1" xfId="983" xr:uid="{00000000-0005-0000-0000-000005040000}"/>
    <cellStyle name="1_SuoiTon" xfId="984" xr:uid="{00000000-0005-0000-0000-000006040000}"/>
    <cellStyle name="1_SuoiTon_Book1" xfId="985" xr:uid="{00000000-0005-0000-0000-000007040000}"/>
    <cellStyle name="1_t" xfId="986" xr:uid="{00000000-0005-0000-0000-000008040000}"/>
    <cellStyle name="1_Tay THoa" xfId="987" xr:uid="{00000000-0005-0000-0000-000009040000}"/>
    <cellStyle name="1_Tay THoa_Book1" xfId="988" xr:uid="{00000000-0005-0000-0000-00000A040000}"/>
    <cellStyle name="1_Tong hop DT dieu chinh duong 38-95" xfId="990" xr:uid="{00000000-0005-0000-0000-00000B040000}"/>
    <cellStyle name="1_Tong hop khoi luong duong 557 (30-5-2006)" xfId="991" xr:uid="{00000000-0005-0000-0000-00000C040000}"/>
    <cellStyle name="1_Tong muc dau tu" xfId="992" xr:uid="{00000000-0005-0000-0000-00000D040000}"/>
    <cellStyle name="1_Tuyen so 1-Km0+00 - Km0+852.56" xfId="994" xr:uid="{00000000-0005-0000-0000-00000E040000}"/>
    <cellStyle name="1_Tuyen so 1-Km0+00 - Km0+852.56_Book1" xfId="995" xr:uid="{00000000-0005-0000-0000-00000F040000}"/>
    <cellStyle name="1_thanh toan dot cuoi gui anh can" xfId="989" xr:uid="{00000000-0005-0000-0000-000010040000}"/>
    <cellStyle name="1_TRUNG PMU 5" xfId="993" xr:uid="{00000000-0005-0000-0000-000011040000}"/>
    <cellStyle name="1_VatLieu 3 cau -NA" xfId="996" xr:uid="{00000000-0005-0000-0000-000012040000}"/>
    <cellStyle name="1_VatLieu 3 cau -NA_Book1" xfId="997" xr:uid="{00000000-0005-0000-0000-000013040000}"/>
    <cellStyle name="1_VatLieu 3 cau -NA_Du kien giai ngan cac du an den 30-6-16-OK" xfId="998" xr:uid="{00000000-0005-0000-0000-000014040000}"/>
    <cellStyle name="1_VatLieu 3 cau -NA_Du kien giai ngan cac du an den 30-6-16-OK_Book1" xfId="999" xr:uid="{00000000-0005-0000-0000-000015040000}"/>
    <cellStyle name="1_VatLieu 3 cau -NA_MK-TK" xfId="1000" xr:uid="{00000000-0005-0000-0000-000016040000}"/>
    <cellStyle name="1_VatLieu 3 cau -NA_MK-TK_Book1" xfId="1001" xr:uid="{00000000-0005-0000-0000-000017040000}"/>
    <cellStyle name="1_ÿÿÿÿÿ" xfId="1002" xr:uid="{00000000-0005-0000-0000-000018040000}"/>
    <cellStyle name="1_ÿÿÿÿÿ_1" xfId="1003" xr:uid="{00000000-0005-0000-0000-000019040000}"/>
    <cellStyle name="1_ÿÿÿÿÿ_1_Book1" xfId="1004" xr:uid="{00000000-0005-0000-0000-00001A040000}"/>
    <cellStyle name="1_ÿÿÿÿÿ_Book1" xfId="1005" xr:uid="{00000000-0005-0000-0000-00001B040000}"/>
    <cellStyle name="1_ÿÿÿÿÿ_Tong hop DT dieu chinh duong 38-95" xfId="1006" xr:uid="{00000000-0005-0000-0000-00001C040000}"/>
    <cellStyle name="_x0001_1¼„½(" xfId="1007" xr:uid="{00000000-0005-0000-0000-00001D040000}"/>
    <cellStyle name="_x0001_1¼½(" xfId="1008" xr:uid="{00000000-0005-0000-0000-00001E040000}"/>
    <cellStyle name="12" xfId="1009" xr:uid="{00000000-0005-0000-0000-00001F040000}"/>
    <cellStyle name="15" xfId="1010" xr:uid="{00000000-0005-0000-0000-000020040000}"/>
    <cellStyle name="18" xfId="1011" xr:uid="{00000000-0005-0000-0000-000021040000}"/>
    <cellStyle name="18.1" xfId="1012" xr:uid="{00000000-0005-0000-0000-000022040000}"/>
    <cellStyle name="¹éºÐÀ²_      " xfId="1013" xr:uid="{00000000-0005-0000-0000-000023040000}"/>
    <cellStyle name="2" xfId="1014" xr:uid="{00000000-0005-0000-0000-000024040000}"/>
    <cellStyle name="2_A che do KS +chi BQL" xfId="1015" xr:uid="{00000000-0005-0000-0000-000025040000}"/>
    <cellStyle name="2_BANG CAM COC GPMB 8km" xfId="1016" xr:uid="{00000000-0005-0000-0000-000026040000}"/>
    <cellStyle name="2_BANG CAM COC GPMB 8km_Book1" xfId="1017" xr:uid="{00000000-0005-0000-0000-000027040000}"/>
    <cellStyle name="2_Bang tong hop khoi luong" xfId="1018" xr:uid="{00000000-0005-0000-0000-000028040000}"/>
    <cellStyle name="2_Book1" xfId="1019" xr:uid="{00000000-0005-0000-0000-000029040000}"/>
    <cellStyle name="2_Book1_1" xfId="1020" xr:uid="{00000000-0005-0000-0000-00002A040000}"/>
    <cellStyle name="2_Book1_1_BCKT-NHNN-8-4-10 " xfId="1021" xr:uid="{00000000-0005-0000-0000-00002B040000}"/>
    <cellStyle name="2_Book1_1_BCKT-NHNN-8-4-10 _Book1" xfId="1022" xr:uid="{00000000-0005-0000-0000-00002C040000}"/>
    <cellStyle name="2_Book1_1_Book1" xfId="1023" xr:uid="{00000000-0005-0000-0000-00002D040000}"/>
    <cellStyle name="2_Book1_1_Du kien giai ngan cac du an den 30-6-16-OK" xfId="1024" xr:uid="{00000000-0005-0000-0000-00002E040000}"/>
    <cellStyle name="2_Book1_1_Du kien giai ngan cac du an den 30-6-16-OK_Book1" xfId="1025" xr:uid="{00000000-0005-0000-0000-00002F040000}"/>
    <cellStyle name="2_Book1_1_MK-TK" xfId="1026" xr:uid="{00000000-0005-0000-0000-000030040000}"/>
    <cellStyle name="2_Book1_1_MK-TK_Book1" xfId="1027" xr:uid="{00000000-0005-0000-0000-000031040000}"/>
    <cellStyle name="2_Book1_Book1" xfId="1028" xr:uid="{00000000-0005-0000-0000-000032040000}"/>
    <cellStyle name="2_Book1_Book1_1" xfId="1029" xr:uid="{00000000-0005-0000-0000-000033040000}"/>
    <cellStyle name="2_Book1_Book1_Book1" xfId="1030" xr:uid="{00000000-0005-0000-0000-000034040000}"/>
    <cellStyle name="2_Book1_CAU XOP XANG II(su­a)" xfId="1031" xr:uid="{00000000-0005-0000-0000-000035040000}"/>
    <cellStyle name="2_Book1_CAU XOP XANG II(su­a)_Book1" xfId="1032" xr:uid="{00000000-0005-0000-0000-000036040000}"/>
    <cellStyle name="2_Book1_Dieu phoi dat goi 1" xfId="1033" xr:uid="{00000000-0005-0000-0000-000037040000}"/>
    <cellStyle name="2_Book1_Dieu phoi dat goi 2" xfId="1034" xr:uid="{00000000-0005-0000-0000-000038040000}"/>
    <cellStyle name="2_Book1_DT Kha thi ngay 11-2-06" xfId="1035" xr:uid="{00000000-0005-0000-0000-000039040000}"/>
    <cellStyle name="2_Book1_DT Kha thi ngay 11-2-06_Book1" xfId="1036" xr:uid="{00000000-0005-0000-0000-00003A040000}"/>
    <cellStyle name="2_Book1_DT ngay 04-01-2006" xfId="1037" xr:uid="{00000000-0005-0000-0000-00003B040000}"/>
    <cellStyle name="2_Book1_DT ngay 11-4-2006" xfId="1038" xr:uid="{00000000-0005-0000-0000-00003C040000}"/>
    <cellStyle name="2_Book1_DT ngay 15-11-05" xfId="1039" xr:uid="{00000000-0005-0000-0000-00003D040000}"/>
    <cellStyle name="2_Book1_DT ngay 15-11-05_Book1" xfId="1040" xr:uid="{00000000-0005-0000-0000-00003E040000}"/>
    <cellStyle name="2_Book1_Du toan KT-TCsua theo TT 03 - YC 471" xfId="1041" xr:uid="{00000000-0005-0000-0000-00003F040000}"/>
    <cellStyle name="2_Book1_Du toan Phuong lam" xfId="1042" xr:uid="{00000000-0005-0000-0000-000040040000}"/>
    <cellStyle name="2_Book1_Du toan Phuong lam_Book1" xfId="1043" xr:uid="{00000000-0005-0000-0000-000041040000}"/>
    <cellStyle name="2_Book1_Du toan QL 27 (23-12-2005)" xfId="1044" xr:uid="{00000000-0005-0000-0000-000042040000}"/>
    <cellStyle name="2_Book1_DuAnKT ngay 11-2-2006" xfId="1045" xr:uid="{00000000-0005-0000-0000-000043040000}"/>
    <cellStyle name="2_Book1_Goi 1" xfId="1046" xr:uid="{00000000-0005-0000-0000-000044040000}"/>
    <cellStyle name="2_Book1_Goi thau so 2 (20-6-2006)" xfId="1047" xr:uid="{00000000-0005-0000-0000-000045040000}"/>
    <cellStyle name="2_Book1_Goi thau so 2 (20-6-2006)_Book1" xfId="1048" xr:uid="{00000000-0005-0000-0000-000046040000}"/>
    <cellStyle name="2_Book1_Goi02(25-05-2006)" xfId="1049" xr:uid="{00000000-0005-0000-0000-000047040000}"/>
    <cellStyle name="2_Book1_HC  QNM009(van dc1)" xfId="1050" xr:uid="{00000000-0005-0000-0000-000048040000}"/>
    <cellStyle name="2_Book1_K C N - HUNG DONG L.NHUA" xfId="1051" xr:uid="{00000000-0005-0000-0000-000049040000}"/>
    <cellStyle name="2_Book1_K C N - HUNG DONG L.NHUA_Book1" xfId="1052" xr:uid="{00000000-0005-0000-0000-00004A040000}"/>
    <cellStyle name="2_Book1_KH hoach keo quang thang 5" xfId="1053" xr:uid="{00000000-0005-0000-0000-00004B040000}"/>
    <cellStyle name="2_Book1_Khoi Luong Hoang Truong - Hoang Phu" xfId="1054" xr:uid="{00000000-0005-0000-0000-00004C040000}"/>
    <cellStyle name="2_Book1_Khoi Luong Hoang Truong - Hoang Phu_Book1" xfId="1055" xr:uid="{00000000-0005-0000-0000-00004D040000}"/>
    <cellStyle name="2_Book1_Muong TL" xfId="1056" xr:uid="{00000000-0005-0000-0000-00004E040000}"/>
    <cellStyle name="2_Book1_Tuyen so 1-Km0+00 - Km0+852.56" xfId="1057" xr:uid="{00000000-0005-0000-0000-00004F040000}"/>
    <cellStyle name="2_C" xfId="1058" xr:uid="{00000000-0005-0000-0000-000050040000}"/>
    <cellStyle name="2_Cau Hua Trai (TT 04)" xfId="1059" xr:uid="{00000000-0005-0000-0000-000051040000}"/>
    <cellStyle name="2_Cau Thanh Ha 1" xfId="1060" xr:uid="{00000000-0005-0000-0000-000052040000}"/>
    <cellStyle name="2_Cau thuy dien Ban La (Cu Anh)" xfId="1061" xr:uid="{00000000-0005-0000-0000-000053040000}"/>
    <cellStyle name="2_Cau thuy dien Ban La (Cu Anh)_BCKT-NHNN-8-4-10 " xfId="1062" xr:uid="{00000000-0005-0000-0000-000054040000}"/>
    <cellStyle name="2_Cau thuy dien Ban La (Cu Anh)_BCKT-NHNN-8-4-10 _Book1" xfId="1063" xr:uid="{00000000-0005-0000-0000-000055040000}"/>
    <cellStyle name="2_Cau thuy dien Ban La (Cu Anh)_Book1" xfId="1064" xr:uid="{00000000-0005-0000-0000-000056040000}"/>
    <cellStyle name="2_Cau thuy dien Ban La (Cu Anh)_Du kien giai ngan cac du an den 30-6-16-OK" xfId="1065" xr:uid="{00000000-0005-0000-0000-000057040000}"/>
    <cellStyle name="2_Cau thuy dien Ban La (Cu Anh)_Du kien giai ngan cac du an den 30-6-16-OK_Book1" xfId="1066" xr:uid="{00000000-0005-0000-0000-000058040000}"/>
    <cellStyle name="2_Cau thuy dien Ban La (Cu Anh)_MK-TK" xfId="1067" xr:uid="{00000000-0005-0000-0000-000059040000}"/>
    <cellStyle name="2_Cau thuy dien Ban La (Cu Anh)_MK-TK_Book1" xfId="1068" xr:uid="{00000000-0005-0000-0000-00005A040000}"/>
    <cellStyle name="2_CAU XOP XANG II(su­a)" xfId="1069" xr:uid="{00000000-0005-0000-0000-00005B040000}"/>
    <cellStyle name="2_cong" xfId="1071" xr:uid="{00000000-0005-0000-0000-00005C040000}"/>
    <cellStyle name="2_Chi phi KS" xfId="1070" xr:uid="{00000000-0005-0000-0000-00005D040000}"/>
    <cellStyle name="2_Dakt-Cau tinh Hua Phan" xfId="1072" xr:uid="{00000000-0005-0000-0000-00005E040000}"/>
    <cellStyle name="2_danh_ba_DT_cac_Tinh" xfId="1073" xr:uid="{00000000-0005-0000-0000-00005F040000}"/>
    <cellStyle name="2_DIEN" xfId="1074" xr:uid="{00000000-0005-0000-0000-000060040000}"/>
    <cellStyle name="2_Dieu phoi dat goi 1" xfId="1075" xr:uid="{00000000-0005-0000-0000-000061040000}"/>
    <cellStyle name="2_Dieu phoi dat goi 1_Book1" xfId="1076" xr:uid="{00000000-0005-0000-0000-000062040000}"/>
    <cellStyle name="2_Dieu phoi dat goi 2" xfId="1077" xr:uid="{00000000-0005-0000-0000-000063040000}"/>
    <cellStyle name="2_Dieu phoi dat goi 2_Book1" xfId="1078" xr:uid="{00000000-0005-0000-0000-000064040000}"/>
    <cellStyle name="2_Dinh muc thiet ke" xfId="1079" xr:uid="{00000000-0005-0000-0000-000065040000}"/>
    <cellStyle name="2_DONGIA" xfId="1080" xr:uid="{00000000-0005-0000-0000-000066040000}"/>
    <cellStyle name="2_DT KT ngay 10-9-2005" xfId="1082" xr:uid="{00000000-0005-0000-0000-000067040000}"/>
    <cellStyle name="2_DT Kha thi ngay 11-2-06" xfId="1081" xr:uid="{00000000-0005-0000-0000-000068040000}"/>
    <cellStyle name="2_DT ngay 04-01-2006" xfId="1083" xr:uid="{00000000-0005-0000-0000-000069040000}"/>
    <cellStyle name="2_DT ngay 04-01-2006_Book1" xfId="1084" xr:uid="{00000000-0005-0000-0000-00006A040000}"/>
    <cellStyle name="2_DT ngay 11-4-2006" xfId="1085" xr:uid="{00000000-0005-0000-0000-00006B040000}"/>
    <cellStyle name="2_DT ngay 11-4-2006_Book1" xfId="1086" xr:uid="{00000000-0005-0000-0000-00006C040000}"/>
    <cellStyle name="2_DT ngay 15-11-05" xfId="1087" xr:uid="{00000000-0005-0000-0000-00006D040000}"/>
    <cellStyle name="2_DTXL goi 11(20-9-05)" xfId="1088" xr:uid="{00000000-0005-0000-0000-00006E040000}"/>
    <cellStyle name="2_Du Lieu ADSL Va PSTN" xfId="1089" xr:uid="{00000000-0005-0000-0000-00006F040000}"/>
    <cellStyle name="2_du toan" xfId="1090" xr:uid="{00000000-0005-0000-0000-000070040000}"/>
    <cellStyle name="2_du toan (03-11-05)" xfId="1091" xr:uid="{00000000-0005-0000-0000-000071040000}"/>
    <cellStyle name="2_Du toan (12-05-2005) Tham dinh" xfId="1092" xr:uid="{00000000-0005-0000-0000-000072040000}"/>
    <cellStyle name="2_Du toan (12-05-2005) Tham dinh_Book1" xfId="1093" xr:uid="{00000000-0005-0000-0000-000073040000}"/>
    <cellStyle name="2_Du toan (23-05-2005) Tham dinh" xfId="1094" xr:uid="{00000000-0005-0000-0000-000074040000}"/>
    <cellStyle name="2_Du toan (23-05-2005) Tham dinh_Book1" xfId="1095" xr:uid="{00000000-0005-0000-0000-000075040000}"/>
    <cellStyle name="2_Du toan (5 - 04 - 2004)" xfId="1096" xr:uid="{00000000-0005-0000-0000-000076040000}"/>
    <cellStyle name="2_Du toan (5 - 04 - 2004)_Book1" xfId="1097" xr:uid="{00000000-0005-0000-0000-000077040000}"/>
    <cellStyle name="2_Du toan (6-3-2005)" xfId="1098" xr:uid="{00000000-0005-0000-0000-000078040000}"/>
    <cellStyle name="2_Du toan (Ban A)" xfId="1099" xr:uid="{00000000-0005-0000-0000-000079040000}"/>
    <cellStyle name="2_Du toan (Ban A)_Book1" xfId="1100" xr:uid="{00000000-0005-0000-0000-00007A040000}"/>
    <cellStyle name="2_Du toan (ngay 13 - 07 - 2004)" xfId="1101" xr:uid="{00000000-0005-0000-0000-00007B040000}"/>
    <cellStyle name="2_Du toan (ngay 13 - 07 - 2004)_Book1" xfId="1102" xr:uid="{00000000-0005-0000-0000-00007C040000}"/>
    <cellStyle name="2_Du toan 558 (Km17+508.12 - Km 22)" xfId="1103" xr:uid="{00000000-0005-0000-0000-00007D040000}"/>
    <cellStyle name="2_Du toan 558 (Km17+508.12 - Km 22)_BCKT-NHNN-8-4-10 " xfId="1104" xr:uid="{00000000-0005-0000-0000-00007E040000}"/>
    <cellStyle name="2_Du toan 558 (Km17+508.12 - Km 22)_BCKT-NHNN-8-4-10 _Book1" xfId="1105" xr:uid="{00000000-0005-0000-0000-00007F040000}"/>
    <cellStyle name="2_Du toan 558 (Km17+508.12 - Km 22)_Book1" xfId="1106" xr:uid="{00000000-0005-0000-0000-000080040000}"/>
    <cellStyle name="2_Du toan 558 (Km17+508.12 - Km 22)_Du kien giai ngan cac du an den 30-6-16-OK" xfId="1107" xr:uid="{00000000-0005-0000-0000-000081040000}"/>
    <cellStyle name="2_Du toan 558 (Km17+508.12 - Km 22)_Du kien giai ngan cac du an den 30-6-16-OK_Book1" xfId="1108" xr:uid="{00000000-0005-0000-0000-000082040000}"/>
    <cellStyle name="2_Du toan 558 (Km17+508.12 - Km 22)_MK-TK" xfId="1109" xr:uid="{00000000-0005-0000-0000-000083040000}"/>
    <cellStyle name="2_Du toan 558 (Km17+508.12 - Km 22)_MK-TK_Book1" xfId="1110" xr:uid="{00000000-0005-0000-0000-000084040000}"/>
    <cellStyle name="2_Du toan bo sung (11-2004)" xfId="1111" xr:uid="{00000000-0005-0000-0000-000085040000}"/>
    <cellStyle name="2_Du toan Cang Vung Ang ngay 09-8-06 " xfId="1112" xr:uid="{00000000-0005-0000-0000-000086040000}"/>
    <cellStyle name="2_Du toan Cang Vung Ang ngay 09-8-06 _Book1" xfId="1113" xr:uid="{00000000-0005-0000-0000-000087040000}"/>
    <cellStyle name="2_Du toan Goi 1" xfId="1114" xr:uid="{00000000-0005-0000-0000-000088040000}"/>
    <cellStyle name="2_Du toan Goi 1_Book1" xfId="1115" xr:uid="{00000000-0005-0000-0000-000089040000}"/>
    <cellStyle name="2_du toan goi 12" xfId="1116" xr:uid="{00000000-0005-0000-0000-00008A040000}"/>
    <cellStyle name="2_Du toan Goi 2" xfId="1117" xr:uid="{00000000-0005-0000-0000-00008B040000}"/>
    <cellStyle name="2_Du toan Goi 2_Book1" xfId="1118" xr:uid="{00000000-0005-0000-0000-00008C040000}"/>
    <cellStyle name="2_Du toan KT-TCsua theo TT 03 - YC 471" xfId="1119" xr:uid="{00000000-0005-0000-0000-00008D040000}"/>
    <cellStyle name="2_Du toan KT-TCsua theo TT 03 - YC 471_Book1" xfId="1120" xr:uid="{00000000-0005-0000-0000-00008E040000}"/>
    <cellStyle name="2_Du toan ngay (28-10-2005)" xfId="1121" xr:uid="{00000000-0005-0000-0000-00008F040000}"/>
    <cellStyle name="2_Du toan ngay (28-10-2005)_Book1" xfId="1122" xr:uid="{00000000-0005-0000-0000-000090040000}"/>
    <cellStyle name="2_Du toan ngay 1-9-2004 (version 1)" xfId="1123" xr:uid="{00000000-0005-0000-0000-000091040000}"/>
    <cellStyle name="2_Du toan ngay 1-9-2004 (version 1)_Book1" xfId="1124" xr:uid="{00000000-0005-0000-0000-000092040000}"/>
    <cellStyle name="2_Du toan Phuong lam" xfId="1125" xr:uid="{00000000-0005-0000-0000-000093040000}"/>
    <cellStyle name="2_Du toan QL 27 (23-12-2005)" xfId="1126" xr:uid="{00000000-0005-0000-0000-000094040000}"/>
    <cellStyle name="2_Du toan QL 27 (23-12-2005)_Book1" xfId="1127" xr:uid="{00000000-0005-0000-0000-000095040000}"/>
    <cellStyle name="2_du toan qnm184" xfId="1128" xr:uid="{00000000-0005-0000-0000-000096040000}"/>
    <cellStyle name="2_DuAnKT ngay 11-2-2006" xfId="1129" xr:uid="{00000000-0005-0000-0000-000097040000}"/>
    <cellStyle name="2_DuAnKT ngay 11-2-2006_Book1" xfId="1130" xr:uid="{00000000-0005-0000-0000-000098040000}"/>
    <cellStyle name="2_goi 1" xfId="1151" xr:uid="{00000000-0005-0000-0000-000099040000}"/>
    <cellStyle name="2_Goi 1 (TT04)" xfId="1152" xr:uid="{00000000-0005-0000-0000-00009A040000}"/>
    <cellStyle name="2_goi 1 duyet theo luong mo (an)" xfId="1153" xr:uid="{00000000-0005-0000-0000-00009B040000}"/>
    <cellStyle name="2_Goi 1_1" xfId="1154" xr:uid="{00000000-0005-0000-0000-00009C040000}"/>
    <cellStyle name="2_Goi 1_1_Book1" xfId="1155" xr:uid="{00000000-0005-0000-0000-00009D040000}"/>
    <cellStyle name="2_Goi so 1" xfId="1156" xr:uid="{00000000-0005-0000-0000-00009E040000}"/>
    <cellStyle name="2_Goi thau so 2 (20-6-2006)" xfId="1157" xr:uid="{00000000-0005-0000-0000-00009F040000}"/>
    <cellStyle name="2_Goi02(25-05-2006)" xfId="1158" xr:uid="{00000000-0005-0000-0000-0000A0040000}"/>
    <cellStyle name="2_Goi02(25-05-2006)_Book1" xfId="1159" xr:uid="{00000000-0005-0000-0000-0000A1040000}"/>
    <cellStyle name="2_Goi1N206" xfId="1160" xr:uid="{00000000-0005-0000-0000-0000A2040000}"/>
    <cellStyle name="2_Goi1N206_Book1" xfId="1161" xr:uid="{00000000-0005-0000-0000-0000A3040000}"/>
    <cellStyle name="2_Goi2N206" xfId="1162" xr:uid="{00000000-0005-0000-0000-0000A4040000}"/>
    <cellStyle name="2_Goi2N206_Book1" xfId="1163" xr:uid="{00000000-0005-0000-0000-0000A5040000}"/>
    <cellStyle name="2_Goi4N216" xfId="1164" xr:uid="{00000000-0005-0000-0000-0000A6040000}"/>
    <cellStyle name="2_Goi4N216_Book1" xfId="1165" xr:uid="{00000000-0005-0000-0000-0000A7040000}"/>
    <cellStyle name="2_Goi5N216" xfId="1166" xr:uid="{00000000-0005-0000-0000-0000A8040000}"/>
    <cellStyle name="2_Goi5N216_Book1" xfId="1167" xr:uid="{00000000-0005-0000-0000-0000A9040000}"/>
    <cellStyle name="2_Gia_VL cau-JIBIC-Ha-tinh" xfId="1131" xr:uid="{00000000-0005-0000-0000-0000AA040000}"/>
    <cellStyle name="2_Gia_VL cau-JIBIC-Ha-tinh_Book1" xfId="1132" xr:uid="{00000000-0005-0000-0000-0000AB040000}"/>
    <cellStyle name="2_Gia_VL cau-JIBIC-Ha-tinh_Du kien giai ngan cac du an den 30-6-16-OK" xfId="1133" xr:uid="{00000000-0005-0000-0000-0000AC040000}"/>
    <cellStyle name="2_Gia_VL cau-JIBIC-Ha-tinh_Du kien giai ngan cac du an den 30-6-16-OK_Book1" xfId="1134" xr:uid="{00000000-0005-0000-0000-0000AD040000}"/>
    <cellStyle name="2_Gia_VL cau-JIBIC-Ha-tinh_MK-TK" xfId="1135" xr:uid="{00000000-0005-0000-0000-0000AE040000}"/>
    <cellStyle name="2_Gia_VL cau-JIBIC-Ha-tinh_MK-TK_Book1" xfId="1136" xr:uid="{00000000-0005-0000-0000-0000AF040000}"/>
    <cellStyle name="2_Gia_VLQL48_duyet " xfId="1137" xr:uid="{00000000-0005-0000-0000-0000B0040000}"/>
    <cellStyle name="2_Gia_VLQL48_duyet _BCKT-NHNN-8-4-10 " xfId="1138" xr:uid="{00000000-0005-0000-0000-0000B1040000}"/>
    <cellStyle name="2_Gia_VLQL48_duyet _BCKT-NHNN-8-4-10 _Book1" xfId="1139" xr:uid="{00000000-0005-0000-0000-0000B2040000}"/>
    <cellStyle name="2_Gia_VLQL48_duyet _Book1" xfId="1140" xr:uid="{00000000-0005-0000-0000-0000B3040000}"/>
    <cellStyle name="2_Gia_VLQL48_duyet _Du kien giai ngan cac du an den 30-6-16-OK" xfId="1141" xr:uid="{00000000-0005-0000-0000-0000B4040000}"/>
    <cellStyle name="2_Gia_VLQL48_duyet _Du kien giai ngan cac du an den 30-6-16-OK_Book1" xfId="1142" xr:uid="{00000000-0005-0000-0000-0000B5040000}"/>
    <cellStyle name="2_Gia_VLQL48_duyet _Mau c3-01-NS" xfId="1143" xr:uid="{00000000-0005-0000-0000-0000B6040000}"/>
    <cellStyle name="2_Gia_VLQL48_duyet _Mau c3-01-NS_Book1" xfId="1144" xr:uid="{00000000-0005-0000-0000-0000B7040000}"/>
    <cellStyle name="2_Gia_VLQL48_duyet _Mau c3-01-NS_MK-TK" xfId="1145" xr:uid="{00000000-0005-0000-0000-0000B8040000}"/>
    <cellStyle name="2_Gia_VLQL48_duyet _Mau c3-01-NS_MK-TK_Book1" xfId="1146" xr:uid="{00000000-0005-0000-0000-0000B9040000}"/>
    <cellStyle name="2_Gia_VLQL48_duyet _MK-TK" xfId="1147" xr:uid="{00000000-0005-0000-0000-0000BA040000}"/>
    <cellStyle name="2_Gia_VLQL48_duyet _MK-TK_Book1" xfId="1148" xr:uid="{00000000-0005-0000-0000-0000BB040000}"/>
    <cellStyle name="2_Gia_VLQL48_duyet _THDA MyKhe-TraKhuc (Km35-Km47) - 280213 (Dot 3)" xfId="1149" xr:uid="{00000000-0005-0000-0000-0000BC040000}"/>
    <cellStyle name="2_Gia_VLQL48_duyet _THDA MyKhe-TraKhuc (Km35-Km47) - 280213 (Dot 3)_Book1" xfId="1150" xr:uid="{00000000-0005-0000-0000-0000BD040000}"/>
    <cellStyle name="2_HC  QNM009(van dc1)" xfId="1168" xr:uid="{00000000-0005-0000-0000-0000BE040000}"/>
    <cellStyle name="2_Hoi Song" xfId="1169" xr:uid="{00000000-0005-0000-0000-0000BF040000}"/>
    <cellStyle name="2_HT-LO" xfId="1170" xr:uid="{00000000-0005-0000-0000-0000C0040000}"/>
    <cellStyle name="2_HT-LO_Book1" xfId="1171" xr:uid="{00000000-0005-0000-0000-0000C1040000}"/>
    <cellStyle name="2_KE HOACH DI TINH thang 10-2007" xfId="1172" xr:uid="{00000000-0005-0000-0000-0000C2040000}"/>
    <cellStyle name="2_kl_BCKT-NHNN-8-4-10 " xfId="1179" xr:uid="{00000000-0005-0000-0000-0000C3040000}"/>
    <cellStyle name="2_Kl6-6-05" xfId="1180" xr:uid="{00000000-0005-0000-0000-0000C4040000}"/>
    <cellStyle name="2_Klnutgiao" xfId="1181" xr:uid="{00000000-0005-0000-0000-0000C5040000}"/>
    <cellStyle name="2_KLPA2s" xfId="1182" xr:uid="{00000000-0005-0000-0000-0000C6040000}"/>
    <cellStyle name="2_KlQdinhduyet" xfId="1183" xr:uid="{00000000-0005-0000-0000-0000C7040000}"/>
    <cellStyle name="2_KlQdinhduyet_BCKT-NHNN-8-4-10 " xfId="1184" xr:uid="{00000000-0005-0000-0000-0000C8040000}"/>
    <cellStyle name="2_KlQdinhduyet_BCKT-NHNN-8-4-10 _Book1" xfId="1185" xr:uid="{00000000-0005-0000-0000-0000C9040000}"/>
    <cellStyle name="2_KlQdinhduyet_Book1" xfId="1186" xr:uid="{00000000-0005-0000-0000-0000CA040000}"/>
    <cellStyle name="2_KlQdinhduyet_Du kien giai ngan cac du an den 30-6-16-OK" xfId="1187" xr:uid="{00000000-0005-0000-0000-0000CB040000}"/>
    <cellStyle name="2_KlQdinhduyet_Du kien giai ngan cac du an den 30-6-16-OK_Book1" xfId="1188" xr:uid="{00000000-0005-0000-0000-0000CC040000}"/>
    <cellStyle name="2_KlQdinhduyet_MK-TK" xfId="1189" xr:uid="{00000000-0005-0000-0000-0000CD040000}"/>
    <cellStyle name="2_KlQdinhduyet_MK-TK_Book1" xfId="1190" xr:uid="{00000000-0005-0000-0000-0000CE040000}"/>
    <cellStyle name="2_KlQL4goi5KCS" xfId="1191" xr:uid="{00000000-0005-0000-0000-0000CF040000}"/>
    <cellStyle name="2_Kltayth" xfId="1192" xr:uid="{00000000-0005-0000-0000-0000D0040000}"/>
    <cellStyle name="2_KltaythQDduyet" xfId="1193" xr:uid="{00000000-0005-0000-0000-0000D1040000}"/>
    <cellStyle name="2_Kluong4-2004" xfId="1194" xr:uid="{00000000-0005-0000-0000-0000D2040000}"/>
    <cellStyle name="2_Kluong4-2004_Book1" xfId="1195" xr:uid="{00000000-0005-0000-0000-0000D3040000}"/>
    <cellStyle name="2_Khoi luong" xfId="1173" xr:uid="{00000000-0005-0000-0000-0000D4040000}"/>
    <cellStyle name="2_Khoi luong doan 1" xfId="1174" xr:uid="{00000000-0005-0000-0000-0000D5040000}"/>
    <cellStyle name="2_Khoi luong doan 1_Book1" xfId="1175" xr:uid="{00000000-0005-0000-0000-0000D6040000}"/>
    <cellStyle name="2_Khoi Luong Hoang Truong - Hoang Phu" xfId="1176" xr:uid="{00000000-0005-0000-0000-0000D7040000}"/>
    <cellStyle name="2_Khoi Luong Hoang Truong - Hoang Phu_Book1" xfId="1177" xr:uid="{00000000-0005-0000-0000-0000D8040000}"/>
    <cellStyle name="2_Khoi luong_Book1" xfId="1178" xr:uid="{00000000-0005-0000-0000-0000D9040000}"/>
    <cellStyle name="2_Luong A6" xfId="1196" xr:uid="{00000000-0005-0000-0000-0000DA040000}"/>
    <cellStyle name="2_maugiacotaluy" xfId="1197" xr:uid="{00000000-0005-0000-0000-0000DB040000}"/>
    <cellStyle name="2_My Thanh Son Thanh" xfId="1198" xr:uid="{00000000-0005-0000-0000-0000DC040000}"/>
    <cellStyle name="2_Nhom I" xfId="1199" xr:uid="{00000000-0005-0000-0000-0000DD040000}"/>
    <cellStyle name="2_Nhom I_Book1" xfId="1200" xr:uid="{00000000-0005-0000-0000-0000DE040000}"/>
    <cellStyle name="2_Project N.Du" xfId="1201" xr:uid="{00000000-0005-0000-0000-0000DF040000}"/>
    <cellStyle name="2_Project N.Du.dien" xfId="1202" xr:uid="{00000000-0005-0000-0000-0000E0040000}"/>
    <cellStyle name="2_Project N.Du_Book1" xfId="1203" xr:uid="{00000000-0005-0000-0000-0000E1040000}"/>
    <cellStyle name="2_Project QL4" xfId="1204" xr:uid="{00000000-0005-0000-0000-0000E2040000}"/>
    <cellStyle name="2_Project QL4 goi 7" xfId="1205" xr:uid="{00000000-0005-0000-0000-0000E3040000}"/>
    <cellStyle name="2_Project QL4 goi 7_Book1" xfId="1206" xr:uid="{00000000-0005-0000-0000-0000E4040000}"/>
    <cellStyle name="2_Project QL4 goi5" xfId="1207" xr:uid="{00000000-0005-0000-0000-0000E5040000}"/>
    <cellStyle name="2_Project QL4 goi8" xfId="1208" xr:uid="{00000000-0005-0000-0000-0000E6040000}"/>
    <cellStyle name="2_QL1A-SUA2005" xfId="1209" xr:uid="{00000000-0005-0000-0000-0000E7040000}"/>
    <cellStyle name="2_QL1A-SUA2005_Book1" xfId="1210" xr:uid="{00000000-0005-0000-0000-0000E8040000}"/>
    <cellStyle name="2_QNM UCTT T3.2009_doi 4" xfId="1211" xr:uid="{00000000-0005-0000-0000-0000E9040000}"/>
    <cellStyle name="2_Sheet1" xfId="1212" xr:uid="{00000000-0005-0000-0000-0000EA040000}"/>
    <cellStyle name="2_SuoiTon" xfId="1213" xr:uid="{00000000-0005-0000-0000-0000EB040000}"/>
    <cellStyle name="2_SuoiTon_Book1" xfId="1214" xr:uid="{00000000-0005-0000-0000-0000EC040000}"/>
    <cellStyle name="2_t" xfId="1215" xr:uid="{00000000-0005-0000-0000-0000ED040000}"/>
    <cellStyle name="2_Tay THoa" xfId="1216" xr:uid="{00000000-0005-0000-0000-0000EE040000}"/>
    <cellStyle name="2_Tay THoa_Book1" xfId="1217" xr:uid="{00000000-0005-0000-0000-0000EF040000}"/>
    <cellStyle name="2_Tong hop DT dieu chinh duong 38-95" xfId="1218" xr:uid="{00000000-0005-0000-0000-0000F0040000}"/>
    <cellStyle name="2_Tong hop khoi luong duong 557 (30-5-2006)" xfId="1219" xr:uid="{00000000-0005-0000-0000-0000F1040000}"/>
    <cellStyle name="2_Tong muc dau tu" xfId="1220" xr:uid="{00000000-0005-0000-0000-0000F2040000}"/>
    <cellStyle name="2_Tuyen so 1-Km0+00 - Km0+852.56" xfId="1222" xr:uid="{00000000-0005-0000-0000-0000F3040000}"/>
    <cellStyle name="2_Tuyen so 1-Km0+00 - Km0+852.56_Book1" xfId="1223" xr:uid="{00000000-0005-0000-0000-0000F4040000}"/>
    <cellStyle name="2_TRUNG PMU 5" xfId="1221" xr:uid="{00000000-0005-0000-0000-0000F5040000}"/>
    <cellStyle name="2_VatLieu 3 cau -NA" xfId="1224" xr:uid="{00000000-0005-0000-0000-0000F6040000}"/>
    <cellStyle name="2_VatLieu 3 cau -NA_Book1" xfId="1225" xr:uid="{00000000-0005-0000-0000-0000F7040000}"/>
    <cellStyle name="2_VatLieu 3 cau -NA_Du kien giai ngan cac du an den 30-6-16-OK" xfId="1226" xr:uid="{00000000-0005-0000-0000-0000F8040000}"/>
    <cellStyle name="2_VatLieu 3 cau -NA_Du kien giai ngan cac du an den 30-6-16-OK_Book1" xfId="1227" xr:uid="{00000000-0005-0000-0000-0000F9040000}"/>
    <cellStyle name="2_VatLieu 3 cau -NA_MK-TK" xfId="1228" xr:uid="{00000000-0005-0000-0000-0000FA040000}"/>
    <cellStyle name="2_VatLieu 3 cau -NA_MK-TK_Book1" xfId="1229" xr:uid="{00000000-0005-0000-0000-0000FB040000}"/>
    <cellStyle name="2_ÿÿÿÿÿ" xfId="1230" xr:uid="{00000000-0005-0000-0000-0000FC040000}"/>
    <cellStyle name="2_ÿÿÿÿÿ_1" xfId="1231" xr:uid="{00000000-0005-0000-0000-0000FD040000}"/>
    <cellStyle name="2_ÿÿÿÿÿ_1_Book1" xfId="1232" xr:uid="{00000000-0005-0000-0000-0000FE040000}"/>
    <cellStyle name="2_ÿÿÿÿÿ_Book1" xfId="1233" xr:uid="{00000000-0005-0000-0000-0000FF040000}"/>
    <cellStyle name="2_ÿÿÿÿÿ_Tong hop DT dieu chinh duong 38-95" xfId="1234" xr:uid="{00000000-0005-0000-0000-000000050000}"/>
    <cellStyle name="20" xfId="1235" xr:uid="{00000000-0005-0000-0000-000001050000}"/>
    <cellStyle name="20 2" xfId="2874" xr:uid="{00000000-0005-0000-0000-000002050000}"/>
    <cellStyle name="20% - Accent1 2" xfId="1236" xr:uid="{00000000-0005-0000-0000-000003050000}"/>
    <cellStyle name="20% - Accent1 2 2" xfId="1237" xr:uid="{00000000-0005-0000-0000-000004050000}"/>
    <cellStyle name="20% - Accent1 2_Book1" xfId="1238" xr:uid="{00000000-0005-0000-0000-000005050000}"/>
    <cellStyle name="20% - Accent1 3" xfId="1239" xr:uid="{00000000-0005-0000-0000-000006050000}"/>
    <cellStyle name="20% - Accent2 2" xfId="1240" xr:uid="{00000000-0005-0000-0000-000007050000}"/>
    <cellStyle name="20% - Accent2 2 2" xfId="1241" xr:uid="{00000000-0005-0000-0000-000008050000}"/>
    <cellStyle name="20% - Accent2 2_Book1" xfId="1242" xr:uid="{00000000-0005-0000-0000-000009050000}"/>
    <cellStyle name="20% - Accent2 3" xfId="1243" xr:uid="{00000000-0005-0000-0000-00000A050000}"/>
    <cellStyle name="20% - Accent3 2" xfId="1244" xr:uid="{00000000-0005-0000-0000-00000B050000}"/>
    <cellStyle name="20% - Accent3 2 2" xfId="1245" xr:uid="{00000000-0005-0000-0000-00000C050000}"/>
    <cellStyle name="20% - Accent3 2_Book1" xfId="1246" xr:uid="{00000000-0005-0000-0000-00000D050000}"/>
    <cellStyle name="20% - Accent3 3" xfId="1247" xr:uid="{00000000-0005-0000-0000-00000E050000}"/>
    <cellStyle name="20% - Accent4 2" xfId="1248" xr:uid="{00000000-0005-0000-0000-00000F050000}"/>
    <cellStyle name="20% - Accent4 2 2" xfId="1249" xr:uid="{00000000-0005-0000-0000-000010050000}"/>
    <cellStyle name="20% - Accent4 2_Book1" xfId="1250" xr:uid="{00000000-0005-0000-0000-000011050000}"/>
    <cellStyle name="20% - Accent4 3" xfId="1251" xr:uid="{00000000-0005-0000-0000-000012050000}"/>
    <cellStyle name="20% - Accent5 2" xfId="1252" xr:uid="{00000000-0005-0000-0000-000013050000}"/>
    <cellStyle name="20% - Accent5 2 2" xfId="1253" xr:uid="{00000000-0005-0000-0000-000014050000}"/>
    <cellStyle name="20% - Accent5 2_Book1" xfId="1254" xr:uid="{00000000-0005-0000-0000-000015050000}"/>
    <cellStyle name="20% - Accent5 3" xfId="1255" xr:uid="{00000000-0005-0000-0000-000016050000}"/>
    <cellStyle name="20% - Accent6 2" xfId="1256" xr:uid="{00000000-0005-0000-0000-000017050000}"/>
    <cellStyle name="20% - Accent6 2 2" xfId="1257" xr:uid="{00000000-0005-0000-0000-000018050000}"/>
    <cellStyle name="20% - Accent6 2_Book1" xfId="1258" xr:uid="{00000000-0005-0000-0000-000019050000}"/>
    <cellStyle name="20% - Accent6 3" xfId="1259" xr:uid="{00000000-0005-0000-0000-00001A050000}"/>
    <cellStyle name="20% - Nhấn1" xfId="1260" xr:uid="{00000000-0005-0000-0000-00001B050000}"/>
    <cellStyle name="20% - Nhấn2" xfId="1261" xr:uid="{00000000-0005-0000-0000-00001C050000}"/>
    <cellStyle name="20% - Nhấn3" xfId="1262" xr:uid="{00000000-0005-0000-0000-00001D050000}"/>
    <cellStyle name="20% - Nhấn4" xfId="1263" xr:uid="{00000000-0005-0000-0000-00001E050000}"/>
    <cellStyle name="20% - Nhấn5" xfId="1264" xr:uid="{00000000-0005-0000-0000-00001F050000}"/>
    <cellStyle name="20% - Nhấn6" xfId="1265" xr:uid="{00000000-0005-0000-0000-000020050000}"/>
    <cellStyle name="-2001" xfId="1266" xr:uid="{00000000-0005-0000-0000-000021050000}"/>
    <cellStyle name="3" xfId="1267" xr:uid="{00000000-0005-0000-0000-000022050000}"/>
    <cellStyle name="3_A che do KS +chi BQL" xfId="1268" xr:uid="{00000000-0005-0000-0000-000023050000}"/>
    <cellStyle name="3_BANG CAM COC GPMB 8km" xfId="1269" xr:uid="{00000000-0005-0000-0000-000024050000}"/>
    <cellStyle name="3_BANG CAM COC GPMB 8km_Book1" xfId="1270" xr:uid="{00000000-0005-0000-0000-000025050000}"/>
    <cellStyle name="3_Bang tong hop khoi luong" xfId="1271" xr:uid="{00000000-0005-0000-0000-000026050000}"/>
    <cellStyle name="3_Book1" xfId="1272" xr:uid="{00000000-0005-0000-0000-000027050000}"/>
    <cellStyle name="3_Book1_1" xfId="1273" xr:uid="{00000000-0005-0000-0000-000028050000}"/>
    <cellStyle name="3_Book1_1_BCKT-NHNN-8-4-10 " xfId="1274" xr:uid="{00000000-0005-0000-0000-000029050000}"/>
    <cellStyle name="3_Book1_1_BCKT-NHNN-8-4-10 _Book1" xfId="1275" xr:uid="{00000000-0005-0000-0000-00002A050000}"/>
    <cellStyle name="3_Book1_1_Book1" xfId="1276" xr:uid="{00000000-0005-0000-0000-00002B050000}"/>
    <cellStyle name="3_Book1_1_Du kien giai ngan cac du an den 30-6-16-OK" xfId="1277" xr:uid="{00000000-0005-0000-0000-00002C050000}"/>
    <cellStyle name="3_Book1_1_Du kien giai ngan cac du an den 30-6-16-OK_Book1" xfId="1278" xr:uid="{00000000-0005-0000-0000-00002D050000}"/>
    <cellStyle name="3_Book1_1_MK-TK" xfId="1279" xr:uid="{00000000-0005-0000-0000-00002E050000}"/>
    <cellStyle name="3_Book1_1_MK-TK_Book1" xfId="1280" xr:uid="{00000000-0005-0000-0000-00002F050000}"/>
    <cellStyle name="3_Book1_Book1" xfId="1281" xr:uid="{00000000-0005-0000-0000-000030050000}"/>
    <cellStyle name="3_Book1_Book1_1" xfId="1282" xr:uid="{00000000-0005-0000-0000-000031050000}"/>
    <cellStyle name="3_Book1_Book1_Book1" xfId="1283" xr:uid="{00000000-0005-0000-0000-000032050000}"/>
    <cellStyle name="3_Book1_CAU XOP XANG II(su­a)" xfId="1284" xr:uid="{00000000-0005-0000-0000-000033050000}"/>
    <cellStyle name="3_Book1_CAU XOP XANG II(su­a)_Book1" xfId="1285" xr:uid="{00000000-0005-0000-0000-000034050000}"/>
    <cellStyle name="3_Book1_Dieu phoi dat goi 1" xfId="1286" xr:uid="{00000000-0005-0000-0000-000035050000}"/>
    <cellStyle name="3_Book1_Dieu phoi dat goi 2" xfId="1287" xr:uid="{00000000-0005-0000-0000-000036050000}"/>
    <cellStyle name="3_Book1_DT Kha thi ngay 11-2-06" xfId="1288" xr:uid="{00000000-0005-0000-0000-000037050000}"/>
    <cellStyle name="3_Book1_DT Kha thi ngay 11-2-06_Book1" xfId="1289" xr:uid="{00000000-0005-0000-0000-000038050000}"/>
    <cellStyle name="3_Book1_DT ngay 04-01-2006" xfId="1290" xr:uid="{00000000-0005-0000-0000-000039050000}"/>
    <cellStyle name="3_Book1_DT ngay 11-4-2006" xfId="1291" xr:uid="{00000000-0005-0000-0000-00003A050000}"/>
    <cellStyle name="3_Book1_DT ngay 15-11-05" xfId="1292" xr:uid="{00000000-0005-0000-0000-00003B050000}"/>
    <cellStyle name="3_Book1_DT ngay 15-11-05_Book1" xfId="1293" xr:uid="{00000000-0005-0000-0000-00003C050000}"/>
    <cellStyle name="3_Book1_Du toan KT-TCsua theo TT 03 - YC 471" xfId="1294" xr:uid="{00000000-0005-0000-0000-00003D050000}"/>
    <cellStyle name="3_Book1_Du toan Phuong lam" xfId="1295" xr:uid="{00000000-0005-0000-0000-00003E050000}"/>
    <cellStyle name="3_Book1_Du toan Phuong lam_Book1" xfId="1296" xr:uid="{00000000-0005-0000-0000-00003F050000}"/>
    <cellStyle name="3_Book1_Du toan QL 27 (23-12-2005)" xfId="1297" xr:uid="{00000000-0005-0000-0000-000040050000}"/>
    <cellStyle name="3_Book1_DuAnKT ngay 11-2-2006" xfId="1298" xr:uid="{00000000-0005-0000-0000-000041050000}"/>
    <cellStyle name="3_Book1_Goi 1" xfId="1299" xr:uid="{00000000-0005-0000-0000-000042050000}"/>
    <cellStyle name="3_Book1_Goi thau so 2 (20-6-2006)" xfId="1300" xr:uid="{00000000-0005-0000-0000-000043050000}"/>
    <cellStyle name="3_Book1_Goi thau so 2 (20-6-2006)_Book1" xfId="1301" xr:uid="{00000000-0005-0000-0000-000044050000}"/>
    <cellStyle name="3_Book1_Goi02(25-05-2006)" xfId="1302" xr:uid="{00000000-0005-0000-0000-000045050000}"/>
    <cellStyle name="3_Book1_HC  QNM009(van dc1)" xfId="1303" xr:uid="{00000000-0005-0000-0000-000046050000}"/>
    <cellStyle name="3_Book1_K C N - HUNG DONG L.NHUA" xfId="1304" xr:uid="{00000000-0005-0000-0000-000047050000}"/>
    <cellStyle name="3_Book1_K C N - HUNG DONG L.NHUA_Book1" xfId="1305" xr:uid="{00000000-0005-0000-0000-000048050000}"/>
    <cellStyle name="3_Book1_KH hoach keo quang thang 5" xfId="1306" xr:uid="{00000000-0005-0000-0000-000049050000}"/>
    <cellStyle name="3_Book1_Khoi Luong Hoang Truong - Hoang Phu" xfId="1307" xr:uid="{00000000-0005-0000-0000-00004A050000}"/>
    <cellStyle name="3_Book1_Khoi Luong Hoang Truong - Hoang Phu_Book1" xfId="1308" xr:uid="{00000000-0005-0000-0000-00004B050000}"/>
    <cellStyle name="3_Book1_Muong TL" xfId="1309" xr:uid="{00000000-0005-0000-0000-00004C050000}"/>
    <cellStyle name="3_Book1_Tuyen so 1-Km0+00 - Km0+852.56" xfId="1310" xr:uid="{00000000-0005-0000-0000-00004D050000}"/>
    <cellStyle name="3_C" xfId="1311" xr:uid="{00000000-0005-0000-0000-00004E050000}"/>
    <cellStyle name="3_Cau Hua Trai (TT 04)" xfId="1312" xr:uid="{00000000-0005-0000-0000-00004F050000}"/>
    <cellStyle name="3_Cau Thanh Ha 1" xfId="1313" xr:uid="{00000000-0005-0000-0000-000050050000}"/>
    <cellStyle name="3_Cau thuy dien Ban La (Cu Anh)" xfId="1314" xr:uid="{00000000-0005-0000-0000-000051050000}"/>
    <cellStyle name="3_Cau thuy dien Ban La (Cu Anh)_BCKT-NHNN-8-4-10 " xfId="1315" xr:uid="{00000000-0005-0000-0000-000052050000}"/>
    <cellStyle name="3_Cau thuy dien Ban La (Cu Anh)_BCKT-NHNN-8-4-10 _Book1" xfId="1316" xr:uid="{00000000-0005-0000-0000-000053050000}"/>
    <cellStyle name="3_Cau thuy dien Ban La (Cu Anh)_Book1" xfId="1317" xr:uid="{00000000-0005-0000-0000-000054050000}"/>
    <cellStyle name="3_Cau thuy dien Ban La (Cu Anh)_Du kien giai ngan cac du an den 30-6-16-OK" xfId="1318" xr:uid="{00000000-0005-0000-0000-000055050000}"/>
    <cellStyle name="3_Cau thuy dien Ban La (Cu Anh)_Du kien giai ngan cac du an den 30-6-16-OK_Book1" xfId="1319" xr:uid="{00000000-0005-0000-0000-000056050000}"/>
    <cellStyle name="3_Cau thuy dien Ban La (Cu Anh)_MK-TK" xfId="1320" xr:uid="{00000000-0005-0000-0000-000057050000}"/>
    <cellStyle name="3_Cau thuy dien Ban La (Cu Anh)_MK-TK_Book1" xfId="1321" xr:uid="{00000000-0005-0000-0000-000058050000}"/>
    <cellStyle name="3_CAU XOP XANG II(su­a)" xfId="1322" xr:uid="{00000000-0005-0000-0000-000059050000}"/>
    <cellStyle name="3_cong" xfId="1324" xr:uid="{00000000-0005-0000-0000-00005A050000}"/>
    <cellStyle name="3_Chi phi KS" xfId="1323" xr:uid="{00000000-0005-0000-0000-00005B050000}"/>
    <cellStyle name="3_Dakt-Cau tinh Hua Phan" xfId="1325" xr:uid="{00000000-0005-0000-0000-00005C050000}"/>
    <cellStyle name="3_danh_ba_DT_cac_Tinh" xfId="1326" xr:uid="{00000000-0005-0000-0000-00005D050000}"/>
    <cellStyle name="3_DIEN" xfId="1327" xr:uid="{00000000-0005-0000-0000-00005E050000}"/>
    <cellStyle name="3_Dieu phoi dat goi 1" xfId="1328" xr:uid="{00000000-0005-0000-0000-00005F050000}"/>
    <cellStyle name="3_Dieu phoi dat goi 1_Book1" xfId="1329" xr:uid="{00000000-0005-0000-0000-000060050000}"/>
    <cellStyle name="3_Dieu phoi dat goi 2" xfId="1330" xr:uid="{00000000-0005-0000-0000-000061050000}"/>
    <cellStyle name="3_Dieu phoi dat goi 2_Book1" xfId="1331" xr:uid="{00000000-0005-0000-0000-000062050000}"/>
    <cellStyle name="3_Dinh muc thiet ke" xfId="1332" xr:uid="{00000000-0005-0000-0000-000063050000}"/>
    <cellStyle name="3_DONGIA" xfId="1333" xr:uid="{00000000-0005-0000-0000-000064050000}"/>
    <cellStyle name="3_DT KT ngay 10-9-2005" xfId="1335" xr:uid="{00000000-0005-0000-0000-000065050000}"/>
    <cellStyle name="3_DT Kha thi ngay 11-2-06" xfId="1334" xr:uid="{00000000-0005-0000-0000-000066050000}"/>
    <cellStyle name="3_DT ngay 04-01-2006" xfId="1336" xr:uid="{00000000-0005-0000-0000-000067050000}"/>
    <cellStyle name="3_DT ngay 04-01-2006_Book1" xfId="1337" xr:uid="{00000000-0005-0000-0000-000068050000}"/>
    <cellStyle name="3_DT ngay 11-4-2006" xfId="1338" xr:uid="{00000000-0005-0000-0000-000069050000}"/>
    <cellStyle name="3_DT ngay 11-4-2006_Book1" xfId="1339" xr:uid="{00000000-0005-0000-0000-00006A050000}"/>
    <cellStyle name="3_DT ngay 15-11-05" xfId="1340" xr:uid="{00000000-0005-0000-0000-00006B050000}"/>
    <cellStyle name="3_DTXL goi 11(20-9-05)" xfId="1341" xr:uid="{00000000-0005-0000-0000-00006C050000}"/>
    <cellStyle name="3_Du Lieu ADSL Va PSTN" xfId="1342" xr:uid="{00000000-0005-0000-0000-00006D050000}"/>
    <cellStyle name="3_du toan" xfId="1343" xr:uid="{00000000-0005-0000-0000-00006E050000}"/>
    <cellStyle name="3_du toan (03-11-05)" xfId="1344" xr:uid="{00000000-0005-0000-0000-00006F050000}"/>
    <cellStyle name="3_Du toan (12-05-2005) Tham dinh" xfId="1345" xr:uid="{00000000-0005-0000-0000-000070050000}"/>
    <cellStyle name="3_Du toan (12-05-2005) Tham dinh_Book1" xfId="1346" xr:uid="{00000000-0005-0000-0000-000071050000}"/>
    <cellStyle name="3_Du toan (23-05-2005) Tham dinh" xfId="1347" xr:uid="{00000000-0005-0000-0000-000072050000}"/>
    <cellStyle name="3_Du toan (23-05-2005) Tham dinh_Book1" xfId="1348" xr:uid="{00000000-0005-0000-0000-000073050000}"/>
    <cellStyle name="3_Du toan (5 - 04 - 2004)" xfId="1349" xr:uid="{00000000-0005-0000-0000-000074050000}"/>
    <cellStyle name="3_Du toan (5 - 04 - 2004)_Book1" xfId="1350" xr:uid="{00000000-0005-0000-0000-000075050000}"/>
    <cellStyle name="3_Du toan (6-3-2005)" xfId="1351" xr:uid="{00000000-0005-0000-0000-000076050000}"/>
    <cellStyle name="3_Du toan (Ban A)" xfId="1352" xr:uid="{00000000-0005-0000-0000-000077050000}"/>
    <cellStyle name="3_Du toan (Ban A)_Book1" xfId="1353" xr:uid="{00000000-0005-0000-0000-000078050000}"/>
    <cellStyle name="3_Du toan (ngay 13 - 07 - 2004)" xfId="1354" xr:uid="{00000000-0005-0000-0000-000079050000}"/>
    <cellStyle name="3_Du toan (ngay 13 - 07 - 2004)_Book1" xfId="1355" xr:uid="{00000000-0005-0000-0000-00007A050000}"/>
    <cellStyle name="3_Du toan 558 (Km17+508.12 - Km 22)" xfId="1356" xr:uid="{00000000-0005-0000-0000-00007B050000}"/>
    <cellStyle name="3_Du toan 558 (Km17+508.12 - Km 22)_BCKT-NHNN-8-4-10 " xfId="1357" xr:uid="{00000000-0005-0000-0000-00007C050000}"/>
    <cellStyle name="3_Du toan 558 (Km17+508.12 - Km 22)_BCKT-NHNN-8-4-10 _Book1" xfId="1358" xr:uid="{00000000-0005-0000-0000-00007D050000}"/>
    <cellStyle name="3_Du toan 558 (Km17+508.12 - Km 22)_Book1" xfId="1359" xr:uid="{00000000-0005-0000-0000-00007E050000}"/>
    <cellStyle name="3_Du toan 558 (Km17+508.12 - Km 22)_Du kien giai ngan cac du an den 30-6-16-OK" xfId="1360" xr:uid="{00000000-0005-0000-0000-00007F050000}"/>
    <cellStyle name="3_Du toan 558 (Km17+508.12 - Km 22)_Du kien giai ngan cac du an den 30-6-16-OK_Book1" xfId="1361" xr:uid="{00000000-0005-0000-0000-000080050000}"/>
    <cellStyle name="3_Du toan 558 (Km17+508.12 - Km 22)_MK-TK" xfId="1362" xr:uid="{00000000-0005-0000-0000-000081050000}"/>
    <cellStyle name="3_Du toan 558 (Km17+508.12 - Km 22)_MK-TK_Book1" xfId="1363" xr:uid="{00000000-0005-0000-0000-000082050000}"/>
    <cellStyle name="3_Du toan bo sung (11-2004)" xfId="1364" xr:uid="{00000000-0005-0000-0000-000083050000}"/>
    <cellStyle name="3_Du toan Cang Vung Ang ngay 09-8-06 " xfId="1365" xr:uid="{00000000-0005-0000-0000-000084050000}"/>
    <cellStyle name="3_Du toan Cang Vung Ang ngay 09-8-06 _Book1" xfId="1366" xr:uid="{00000000-0005-0000-0000-000085050000}"/>
    <cellStyle name="3_Du toan Goi 1" xfId="1367" xr:uid="{00000000-0005-0000-0000-000086050000}"/>
    <cellStyle name="3_Du toan Goi 1_Book1" xfId="1368" xr:uid="{00000000-0005-0000-0000-000087050000}"/>
    <cellStyle name="3_du toan goi 12" xfId="1369" xr:uid="{00000000-0005-0000-0000-000088050000}"/>
    <cellStyle name="3_Du toan Goi 2" xfId="1370" xr:uid="{00000000-0005-0000-0000-000089050000}"/>
    <cellStyle name="3_Du toan Goi 2_Book1" xfId="1371" xr:uid="{00000000-0005-0000-0000-00008A050000}"/>
    <cellStyle name="3_Du toan KT-TCsua theo TT 03 - YC 471" xfId="1372" xr:uid="{00000000-0005-0000-0000-00008B050000}"/>
    <cellStyle name="3_Du toan KT-TCsua theo TT 03 - YC 471_Book1" xfId="1373" xr:uid="{00000000-0005-0000-0000-00008C050000}"/>
    <cellStyle name="3_Du toan ngay (28-10-2005)" xfId="1374" xr:uid="{00000000-0005-0000-0000-00008D050000}"/>
    <cellStyle name="3_Du toan ngay (28-10-2005)_Book1" xfId="1375" xr:uid="{00000000-0005-0000-0000-00008E050000}"/>
    <cellStyle name="3_Du toan ngay 1-9-2004 (version 1)" xfId="1376" xr:uid="{00000000-0005-0000-0000-00008F050000}"/>
    <cellStyle name="3_Du toan ngay 1-9-2004 (version 1)_Book1" xfId="1377" xr:uid="{00000000-0005-0000-0000-000090050000}"/>
    <cellStyle name="3_Du toan Phuong lam" xfId="1378" xr:uid="{00000000-0005-0000-0000-000091050000}"/>
    <cellStyle name="3_Du toan QL 27 (23-12-2005)" xfId="1379" xr:uid="{00000000-0005-0000-0000-000092050000}"/>
    <cellStyle name="3_Du toan QL 27 (23-12-2005)_Book1" xfId="1380" xr:uid="{00000000-0005-0000-0000-000093050000}"/>
    <cellStyle name="3_du toan qnm184" xfId="1381" xr:uid="{00000000-0005-0000-0000-000094050000}"/>
    <cellStyle name="3_DuAnKT ngay 11-2-2006" xfId="1382" xr:uid="{00000000-0005-0000-0000-000095050000}"/>
    <cellStyle name="3_DuAnKT ngay 11-2-2006_Book1" xfId="1383" xr:uid="{00000000-0005-0000-0000-000096050000}"/>
    <cellStyle name="3_goi 1" xfId="1404" xr:uid="{00000000-0005-0000-0000-000097050000}"/>
    <cellStyle name="3_Goi 1 (TT04)" xfId="1405" xr:uid="{00000000-0005-0000-0000-000098050000}"/>
    <cellStyle name="3_goi 1 duyet theo luong mo (an)" xfId="1406" xr:uid="{00000000-0005-0000-0000-000099050000}"/>
    <cellStyle name="3_Goi 1_1" xfId="1407" xr:uid="{00000000-0005-0000-0000-00009A050000}"/>
    <cellStyle name="3_Goi 1_1_Book1" xfId="1408" xr:uid="{00000000-0005-0000-0000-00009B050000}"/>
    <cellStyle name="3_Goi so 1" xfId="1409" xr:uid="{00000000-0005-0000-0000-00009C050000}"/>
    <cellStyle name="3_Goi thau so 2 (20-6-2006)" xfId="1410" xr:uid="{00000000-0005-0000-0000-00009D050000}"/>
    <cellStyle name="3_Goi02(25-05-2006)" xfId="1411" xr:uid="{00000000-0005-0000-0000-00009E050000}"/>
    <cellStyle name="3_Goi02(25-05-2006)_Book1" xfId="1412" xr:uid="{00000000-0005-0000-0000-00009F050000}"/>
    <cellStyle name="3_Goi1N206" xfId="1413" xr:uid="{00000000-0005-0000-0000-0000A0050000}"/>
    <cellStyle name="3_Goi1N206_Book1" xfId="1414" xr:uid="{00000000-0005-0000-0000-0000A1050000}"/>
    <cellStyle name="3_Goi2N206" xfId="1415" xr:uid="{00000000-0005-0000-0000-0000A2050000}"/>
    <cellStyle name="3_Goi2N206_Book1" xfId="1416" xr:uid="{00000000-0005-0000-0000-0000A3050000}"/>
    <cellStyle name="3_Goi4N216" xfId="1417" xr:uid="{00000000-0005-0000-0000-0000A4050000}"/>
    <cellStyle name="3_Goi4N216_Book1" xfId="1418" xr:uid="{00000000-0005-0000-0000-0000A5050000}"/>
    <cellStyle name="3_Goi5N216" xfId="1419" xr:uid="{00000000-0005-0000-0000-0000A6050000}"/>
    <cellStyle name="3_Goi5N216_Book1" xfId="1420" xr:uid="{00000000-0005-0000-0000-0000A7050000}"/>
    <cellStyle name="3_Gia_VL cau-JIBIC-Ha-tinh" xfId="1384" xr:uid="{00000000-0005-0000-0000-0000A8050000}"/>
    <cellStyle name="3_Gia_VL cau-JIBIC-Ha-tinh_Book1" xfId="1385" xr:uid="{00000000-0005-0000-0000-0000A9050000}"/>
    <cellStyle name="3_Gia_VL cau-JIBIC-Ha-tinh_Du kien giai ngan cac du an den 30-6-16-OK" xfId="1386" xr:uid="{00000000-0005-0000-0000-0000AA050000}"/>
    <cellStyle name="3_Gia_VL cau-JIBIC-Ha-tinh_Du kien giai ngan cac du an den 30-6-16-OK_Book1" xfId="1387" xr:uid="{00000000-0005-0000-0000-0000AB050000}"/>
    <cellStyle name="3_Gia_VL cau-JIBIC-Ha-tinh_MK-TK" xfId="1388" xr:uid="{00000000-0005-0000-0000-0000AC050000}"/>
    <cellStyle name="3_Gia_VL cau-JIBIC-Ha-tinh_MK-TK_Book1" xfId="1389" xr:uid="{00000000-0005-0000-0000-0000AD050000}"/>
    <cellStyle name="3_Gia_VLQL48_duyet " xfId="1390" xr:uid="{00000000-0005-0000-0000-0000AE050000}"/>
    <cellStyle name="3_Gia_VLQL48_duyet _BCKT-NHNN-8-4-10 " xfId="1391" xr:uid="{00000000-0005-0000-0000-0000AF050000}"/>
    <cellStyle name="3_Gia_VLQL48_duyet _BCKT-NHNN-8-4-10 _Book1" xfId="1392" xr:uid="{00000000-0005-0000-0000-0000B0050000}"/>
    <cellStyle name="3_Gia_VLQL48_duyet _Book1" xfId="1393" xr:uid="{00000000-0005-0000-0000-0000B1050000}"/>
    <cellStyle name="3_Gia_VLQL48_duyet _Du kien giai ngan cac du an den 30-6-16-OK" xfId="1394" xr:uid="{00000000-0005-0000-0000-0000B2050000}"/>
    <cellStyle name="3_Gia_VLQL48_duyet _Du kien giai ngan cac du an den 30-6-16-OK_Book1" xfId="1395" xr:uid="{00000000-0005-0000-0000-0000B3050000}"/>
    <cellStyle name="3_Gia_VLQL48_duyet _Mau c3-01-NS" xfId="1396" xr:uid="{00000000-0005-0000-0000-0000B4050000}"/>
    <cellStyle name="3_Gia_VLQL48_duyet _Mau c3-01-NS_Book1" xfId="1397" xr:uid="{00000000-0005-0000-0000-0000B5050000}"/>
    <cellStyle name="3_Gia_VLQL48_duyet _Mau c3-01-NS_MK-TK" xfId="1398" xr:uid="{00000000-0005-0000-0000-0000B6050000}"/>
    <cellStyle name="3_Gia_VLQL48_duyet _Mau c3-01-NS_MK-TK_Book1" xfId="1399" xr:uid="{00000000-0005-0000-0000-0000B7050000}"/>
    <cellStyle name="3_Gia_VLQL48_duyet _MK-TK" xfId="1400" xr:uid="{00000000-0005-0000-0000-0000B8050000}"/>
    <cellStyle name="3_Gia_VLQL48_duyet _MK-TK_Book1" xfId="1401" xr:uid="{00000000-0005-0000-0000-0000B9050000}"/>
    <cellStyle name="3_Gia_VLQL48_duyet _THDA MyKhe-TraKhuc (Km35-Km47) - 280213 (Dot 3)" xfId="1402" xr:uid="{00000000-0005-0000-0000-0000BA050000}"/>
    <cellStyle name="3_Gia_VLQL48_duyet _THDA MyKhe-TraKhuc (Km35-Km47) - 280213 (Dot 3)_Book1" xfId="1403" xr:uid="{00000000-0005-0000-0000-0000BB050000}"/>
    <cellStyle name="3_HC  QNM009(van dc1)" xfId="1421" xr:uid="{00000000-0005-0000-0000-0000BC050000}"/>
    <cellStyle name="3_Hoi Song" xfId="1422" xr:uid="{00000000-0005-0000-0000-0000BD050000}"/>
    <cellStyle name="3_HT-LO" xfId="1423" xr:uid="{00000000-0005-0000-0000-0000BE050000}"/>
    <cellStyle name="3_HT-LO_Book1" xfId="1424" xr:uid="{00000000-0005-0000-0000-0000BF050000}"/>
    <cellStyle name="3_KE HOACH DI TINH thang 10-2007" xfId="1425" xr:uid="{00000000-0005-0000-0000-0000C0050000}"/>
    <cellStyle name="3_Kl6-6-05" xfId="1432" xr:uid="{00000000-0005-0000-0000-0000C1050000}"/>
    <cellStyle name="3_Klnutgiao" xfId="1433" xr:uid="{00000000-0005-0000-0000-0000C2050000}"/>
    <cellStyle name="3_KLPA2s" xfId="1434" xr:uid="{00000000-0005-0000-0000-0000C3050000}"/>
    <cellStyle name="3_KlQdinhduyet" xfId="1435" xr:uid="{00000000-0005-0000-0000-0000C4050000}"/>
    <cellStyle name="3_KlQdinhduyet_BCKT-NHNN-8-4-10 " xfId="1436" xr:uid="{00000000-0005-0000-0000-0000C5050000}"/>
    <cellStyle name="3_KlQdinhduyet_BCKT-NHNN-8-4-10 _Book1" xfId="1437" xr:uid="{00000000-0005-0000-0000-0000C6050000}"/>
    <cellStyle name="3_KlQdinhduyet_Book1" xfId="1438" xr:uid="{00000000-0005-0000-0000-0000C7050000}"/>
    <cellStyle name="3_KlQdinhduyet_Du kien giai ngan cac du an den 30-6-16-OK" xfId="1439" xr:uid="{00000000-0005-0000-0000-0000C8050000}"/>
    <cellStyle name="3_KlQdinhduyet_Du kien giai ngan cac du an den 30-6-16-OK_Book1" xfId="1440" xr:uid="{00000000-0005-0000-0000-0000C9050000}"/>
    <cellStyle name="3_KlQdinhduyet_MK-TK" xfId="1441" xr:uid="{00000000-0005-0000-0000-0000CA050000}"/>
    <cellStyle name="3_KlQdinhduyet_MK-TK_Book1" xfId="1442" xr:uid="{00000000-0005-0000-0000-0000CB050000}"/>
    <cellStyle name="3_KlQL4goi5KCS" xfId="1443" xr:uid="{00000000-0005-0000-0000-0000CC050000}"/>
    <cellStyle name="3_Kltayth" xfId="1444" xr:uid="{00000000-0005-0000-0000-0000CD050000}"/>
    <cellStyle name="3_KltaythQDduyet" xfId="1445" xr:uid="{00000000-0005-0000-0000-0000CE050000}"/>
    <cellStyle name="3_Kluong4-2004" xfId="1446" xr:uid="{00000000-0005-0000-0000-0000CF050000}"/>
    <cellStyle name="3_Kluong4-2004_Book1" xfId="1447" xr:uid="{00000000-0005-0000-0000-0000D0050000}"/>
    <cellStyle name="3_Khoi luong" xfId="1426" xr:uid="{00000000-0005-0000-0000-0000D1050000}"/>
    <cellStyle name="3_Khoi luong doan 1" xfId="1427" xr:uid="{00000000-0005-0000-0000-0000D2050000}"/>
    <cellStyle name="3_Khoi luong doan 1_Book1" xfId="1428" xr:uid="{00000000-0005-0000-0000-0000D3050000}"/>
    <cellStyle name="3_Khoi Luong Hoang Truong - Hoang Phu" xfId="1429" xr:uid="{00000000-0005-0000-0000-0000D4050000}"/>
    <cellStyle name="3_Khoi Luong Hoang Truong - Hoang Phu_Book1" xfId="1430" xr:uid="{00000000-0005-0000-0000-0000D5050000}"/>
    <cellStyle name="3_Khoi luong_Book1" xfId="1431" xr:uid="{00000000-0005-0000-0000-0000D6050000}"/>
    <cellStyle name="3_Luong A6" xfId="1448" xr:uid="{00000000-0005-0000-0000-0000D7050000}"/>
    <cellStyle name="3_maugiacotaluy" xfId="1449" xr:uid="{00000000-0005-0000-0000-0000D8050000}"/>
    <cellStyle name="3_My Thanh Son Thanh" xfId="1450" xr:uid="{00000000-0005-0000-0000-0000D9050000}"/>
    <cellStyle name="3_Nhom I" xfId="1451" xr:uid="{00000000-0005-0000-0000-0000DA050000}"/>
    <cellStyle name="3_Nhom I_Book1" xfId="1452" xr:uid="{00000000-0005-0000-0000-0000DB050000}"/>
    <cellStyle name="3_Project N.Du" xfId="1453" xr:uid="{00000000-0005-0000-0000-0000DC050000}"/>
    <cellStyle name="3_Project N.Du.dien" xfId="1454" xr:uid="{00000000-0005-0000-0000-0000DD050000}"/>
    <cellStyle name="3_Project N.Du_Book1" xfId="1455" xr:uid="{00000000-0005-0000-0000-0000DE050000}"/>
    <cellStyle name="3_Project QL4" xfId="1456" xr:uid="{00000000-0005-0000-0000-0000DF050000}"/>
    <cellStyle name="3_Project QL4 goi 7" xfId="1457" xr:uid="{00000000-0005-0000-0000-0000E0050000}"/>
    <cellStyle name="3_Project QL4 goi 7_Book1" xfId="1458" xr:uid="{00000000-0005-0000-0000-0000E1050000}"/>
    <cellStyle name="3_Project QL4 goi5" xfId="1459" xr:uid="{00000000-0005-0000-0000-0000E2050000}"/>
    <cellStyle name="3_Project QL4 goi8" xfId="1460" xr:uid="{00000000-0005-0000-0000-0000E3050000}"/>
    <cellStyle name="3_QL1A-SUA2005" xfId="1461" xr:uid="{00000000-0005-0000-0000-0000E4050000}"/>
    <cellStyle name="3_QL1A-SUA2005_Book1" xfId="1462" xr:uid="{00000000-0005-0000-0000-0000E5050000}"/>
    <cellStyle name="3_QNM UCTT T3.2009_doi 4" xfId="1463" xr:uid="{00000000-0005-0000-0000-0000E6050000}"/>
    <cellStyle name="3_Sheet1" xfId="1464" xr:uid="{00000000-0005-0000-0000-0000E7050000}"/>
    <cellStyle name="3_SuoiTon" xfId="1465" xr:uid="{00000000-0005-0000-0000-0000E8050000}"/>
    <cellStyle name="3_SuoiTon_Book1" xfId="1466" xr:uid="{00000000-0005-0000-0000-0000E9050000}"/>
    <cellStyle name="3_t" xfId="1467" xr:uid="{00000000-0005-0000-0000-0000EA050000}"/>
    <cellStyle name="3_Tay THoa" xfId="1468" xr:uid="{00000000-0005-0000-0000-0000EB050000}"/>
    <cellStyle name="3_Tay THoa_Book1" xfId="1469" xr:uid="{00000000-0005-0000-0000-0000EC050000}"/>
    <cellStyle name="3_Tong hop DT dieu chinh duong 38-95" xfId="1470" xr:uid="{00000000-0005-0000-0000-0000ED050000}"/>
    <cellStyle name="3_Tong hop khoi luong duong 557 (30-5-2006)" xfId="1471" xr:uid="{00000000-0005-0000-0000-0000EE050000}"/>
    <cellStyle name="3_Tong muc dau tu" xfId="1472" xr:uid="{00000000-0005-0000-0000-0000EF050000}"/>
    <cellStyle name="3_Tuyen so 1-Km0+00 - Km0+852.56" xfId="1473" xr:uid="{00000000-0005-0000-0000-0000F0050000}"/>
    <cellStyle name="3_Tuyen so 1-Km0+00 - Km0+852.56_Book1" xfId="1474" xr:uid="{00000000-0005-0000-0000-0000F1050000}"/>
    <cellStyle name="3_VatLieu 3 cau -NA" xfId="1475" xr:uid="{00000000-0005-0000-0000-0000F2050000}"/>
    <cellStyle name="3_VatLieu 3 cau -NA_Book1" xfId="1476" xr:uid="{00000000-0005-0000-0000-0000F3050000}"/>
    <cellStyle name="3_VatLieu 3 cau -NA_Du kien giai ngan cac du an den 30-6-16-OK" xfId="1477" xr:uid="{00000000-0005-0000-0000-0000F4050000}"/>
    <cellStyle name="3_VatLieu 3 cau -NA_Du kien giai ngan cac du an den 30-6-16-OK_Book1" xfId="1478" xr:uid="{00000000-0005-0000-0000-0000F5050000}"/>
    <cellStyle name="3_VatLieu 3 cau -NA_MK-TK" xfId="1479" xr:uid="{00000000-0005-0000-0000-0000F6050000}"/>
    <cellStyle name="3_VatLieu 3 cau -NA_MK-TK_Book1" xfId="1480" xr:uid="{00000000-0005-0000-0000-0000F7050000}"/>
    <cellStyle name="3_ÿÿÿÿÿ" xfId="1481" xr:uid="{00000000-0005-0000-0000-0000F8050000}"/>
    <cellStyle name="3_ÿÿÿÿÿ_1" xfId="1482" xr:uid="{00000000-0005-0000-0000-0000F9050000}"/>
    <cellStyle name="3_ÿÿÿÿÿ_1_Book1" xfId="1483" xr:uid="{00000000-0005-0000-0000-0000FA050000}"/>
    <cellStyle name="³f¹ô[0]_pldt" xfId="1484" xr:uid="{00000000-0005-0000-0000-0000FB050000}"/>
    <cellStyle name="³f¹ô_pldt" xfId="1485" xr:uid="{00000000-0005-0000-0000-0000FC050000}"/>
    <cellStyle name="4" xfId="1486" xr:uid="{00000000-0005-0000-0000-0000FD050000}"/>
    <cellStyle name="4_A che do KS +chi BQL" xfId="1487" xr:uid="{00000000-0005-0000-0000-0000FE050000}"/>
    <cellStyle name="4_BANG CAM COC GPMB 8km" xfId="1488" xr:uid="{00000000-0005-0000-0000-0000FF050000}"/>
    <cellStyle name="4_BANG CAM COC GPMB 8km_Book1" xfId="1489" xr:uid="{00000000-0005-0000-0000-000000060000}"/>
    <cellStyle name="4_Bang tong hop khoi luong" xfId="1490" xr:uid="{00000000-0005-0000-0000-000001060000}"/>
    <cellStyle name="4_Book1" xfId="1491" xr:uid="{00000000-0005-0000-0000-000002060000}"/>
    <cellStyle name="4_Book1_1" xfId="1492" xr:uid="{00000000-0005-0000-0000-000003060000}"/>
    <cellStyle name="4_Book1_1_BCKT-NHNN-8-4-10 " xfId="1493" xr:uid="{00000000-0005-0000-0000-000004060000}"/>
    <cellStyle name="4_Book1_1_BCKT-NHNN-8-4-10 _Book1" xfId="1494" xr:uid="{00000000-0005-0000-0000-000005060000}"/>
    <cellStyle name="4_Book1_1_Book1" xfId="1495" xr:uid="{00000000-0005-0000-0000-000006060000}"/>
    <cellStyle name="4_Book1_1_Du kien giai ngan cac du an den 30-6-16-OK" xfId="1496" xr:uid="{00000000-0005-0000-0000-000007060000}"/>
    <cellStyle name="4_Book1_1_Du kien giai ngan cac du an den 30-6-16-OK_Book1" xfId="1497" xr:uid="{00000000-0005-0000-0000-000008060000}"/>
    <cellStyle name="4_Book1_1_MK-TK" xfId="1498" xr:uid="{00000000-0005-0000-0000-000009060000}"/>
    <cellStyle name="4_Book1_1_MK-TK_Book1" xfId="1499" xr:uid="{00000000-0005-0000-0000-00000A060000}"/>
    <cellStyle name="4_Book1_Book1" xfId="1500" xr:uid="{00000000-0005-0000-0000-00000B060000}"/>
    <cellStyle name="4_Book1_Book1_Book1" xfId="1501" xr:uid="{00000000-0005-0000-0000-00000C060000}"/>
    <cellStyle name="4_Book1_CAU XOP XANG II(su­a)" xfId="1502" xr:uid="{00000000-0005-0000-0000-00000D060000}"/>
    <cellStyle name="4_Book1_CAU XOP XANG II(su­a)_Book1" xfId="1503" xr:uid="{00000000-0005-0000-0000-00000E060000}"/>
    <cellStyle name="4_Book1_Dieu phoi dat goi 1" xfId="1504" xr:uid="{00000000-0005-0000-0000-00000F060000}"/>
    <cellStyle name="4_Book1_Dieu phoi dat goi 2" xfId="1505" xr:uid="{00000000-0005-0000-0000-000010060000}"/>
    <cellStyle name="4_Book1_DT Kha thi ngay 11-2-06" xfId="1506" xr:uid="{00000000-0005-0000-0000-000011060000}"/>
    <cellStyle name="4_Book1_DT Kha thi ngay 11-2-06_Book1" xfId="1507" xr:uid="{00000000-0005-0000-0000-000012060000}"/>
    <cellStyle name="4_Book1_DT ngay 04-01-2006" xfId="1508" xr:uid="{00000000-0005-0000-0000-000013060000}"/>
    <cellStyle name="4_Book1_DT ngay 11-4-2006" xfId="1509" xr:uid="{00000000-0005-0000-0000-000014060000}"/>
    <cellStyle name="4_Book1_DT ngay 15-11-05" xfId="1510" xr:uid="{00000000-0005-0000-0000-000015060000}"/>
    <cellStyle name="4_Book1_DT ngay 15-11-05_Book1" xfId="1511" xr:uid="{00000000-0005-0000-0000-000016060000}"/>
    <cellStyle name="4_Book1_Du toan KT-TCsua theo TT 03 - YC 471" xfId="1512" xr:uid="{00000000-0005-0000-0000-000017060000}"/>
    <cellStyle name="4_Book1_Du toan Phuong lam" xfId="1513" xr:uid="{00000000-0005-0000-0000-000018060000}"/>
    <cellStyle name="4_Book1_Du toan Phuong lam_Book1" xfId="1514" xr:uid="{00000000-0005-0000-0000-000019060000}"/>
    <cellStyle name="4_Book1_Du toan QL 27 (23-12-2005)" xfId="1515" xr:uid="{00000000-0005-0000-0000-00001A060000}"/>
    <cellStyle name="4_Book1_DuAnKT ngay 11-2-2006" xfId="1516" xr:uid="{00000000-0005-0000-0000-00001B060000}"/>
    <cellStyle name="4_Book1_Goi 1" xfId="1517" xr:uid="{00000000-0005-0000-0000-00001C060000}"/>
    <cellStyle name="4_Book1_Goi thau so 2 (20-6-2006)" xfId="1518" xr:uid="{00000000-0005-0000-0000-00001D060000}"/>
    <cellStyle name="4_Book1_Goi thau so 2 (20-6-2006)_Book1" xfId="1519" xr:uid="{00000000-0005-0000-0000-00001E060000}"/>
    <cellStyle name="4_Book1_Goi02(25-05-2006)" xfId="1520" xr:uid="{00000000-0005-0000-0000-00001F060000}"/>
    <cellStyle name="4_Book1_K C N - HUNG DONG L.NHUA" xfId="1521" xr:uid="{00000000-0005-0000-0000-000020060000}"/>
    <cellStyle name="4_Book1_K C N - HUNG DONG L.NHUA_Book1" xfId="1522" xr:uid="{00000000-0005-0000-0000-000021060000}"/>
    <cellStyle name="4_Book1_Khoi Luong Hoang Truong - Hoang Phu" xfId="1523" xr:uid="{00000000-0005-0000-0000-000022060000}"/>
    <cellStyle name="4_Book1_Khoi Luong Hoang Truong - Hoang Phu_Book1" xfId="1524" xr:uid="{00000000-0005-0000-0000-000023060000}"/>
    <cellStyle name="4_Book1_Muong TL" xfId="1525" xr:uid="{00000000-0005-0000-0000-000024060000}"/>
    <cellStyle name="4_Book1_Tuyen so 1-Km0+00 - Km0+852.56" xfId="1526" xr:uid="{00000000-0005-0000-0000-000025060000}"/>
    <cellStyle name="4_C" xfId="1527" xr:uid="{00000000-0005-0000-0000-000026060000}"/>
    <cellStyle name="4_Cau Hua Trai (TT 04)" xfId="1528" xr:uid="{00000000-0005-0000-0000-000027060000}"/>
    <cellStyle name="4_Cau Thanh Ha 1" xfId="1529" xr:uid="{00000000-0005-0000-0000-000028060000}"/>
    <cellStyle name="4_Cau thuy dien Ban La (Cu Anh)" xfId="1530" xr:uid="{00000000-0005-0000-0000-000029060000}"/>
    <cellStyle name="4_Cau thuy dien Ban La (Cu Anh)_BCKT-NHNN-8-4-10 " xfId="1531" xr:uid="{00000000-0005-0000-0000-00002A060000}"/>
    <cellStyle name="4_Cau thuy dien Ban La (Cu Anh)_BCKT-NHNN-8-4-10 _Book1" xfId="1532" xr:uid="{00000000-0005-0000-0000-00002B060000}"/>
    <cellStyle name="4_Cau thuy dien Ban La (Cu Anh)_Book1" xfId="1533" xr:uid="{00000000-0005-0000-0000-00002C060000}"/>
    <cellStyle name="4_Cau thuy dien Ban La (Cu Anh)_Du kien giai ngan cac du an den 30-6-16-OK" xfId="1534" xr:uid="{00000000-0005-0000-0000-00002D060000}"/>
    <cellStyle name="4_Cau thuy dien Ban La (Cu Anh)_Du kien giai ngan cac du an den 30-6-16-OK_Book1" xfId="1535" xr:uid="{00000000-0005-0000-0000-00002E060000}"/>
    <cellStyle name="4_Cau thuy dien Ban La (Cu Anh)_MK-TK" xfId="1536" xr:uid="{00000000-0005-0000-0000-00002F060000}"/>
    <cellStyle name="4_Cau thuy dien Ban La (Cu Anh)_MK-TK_Book1" xfId="1537" xr:uid="{00000000-0005-0000-0000-000030060000}"/>
    <cellStyle name="4_CAU XOP XANG II(su­a)" xfId="1538" xr:uid="{00000000-0005-0000-0000-000031060000}"/>
    <cellStyle name="4_cong" xfId="1540" xr:uid="{00000000-0005-0000-0000-000032060000}"/>
    <cellStyle name="4_Chi phi KS" xfId="1539" xr:uid="{00000000-0005-0000-0000-000033060000}"/>
    <cellStyle name="4_Dakt-Cau tinh Hua Phan" xfId="1541" xr:uid="{00000000-0005-0000-0000-000034060000}"/>
    <cellStyle name="4_DIEN" xfId="1542" xr:uid="{00000000-0005-0000-0000-000035060000}"/>
    <cellStyle name="4_Dieu phoi dat goi 1" xfId="1543" xr:uid="{00000000-0005-0000-0000-000036060000}"/>
    <cellStyle name="4_Dieu phoi dat goi 1_Book1" xfId="1544" xr:uid="{00000000-0005-0000-0000-000037060000}"/>
    <cellStyle name="4_Dieu phoi dat goi 2" xfId="1545" xr:uid="{00000000-0005-0000-0000-000038060000}"/>
    <cellStyle name="4_Dieu phoi dat goi 2_Book1" xfId="1546" xr:uid="{00000000-0005-0000-0000-000039060000}"/>
    <cellStyle name="4_Dinh muc thiet ke" xfId="1547" xr:uid="{00000000-0005-0000-0000-00003A060000}"/>
    <cellStyle name="4_DONGIA" xfId="1548" xr:uid="{00000000-0005-0000-0000-00003B060000}"/>
    <cellStyle name="4_DT KT ngay 10-9-2005" xfId="1550" xr:uid="{00000000-0005-0000-0000-00003C060000}"/>
    <cellStyle name="4_DT Kha thi ngay 11-2-06" xfId="1549" xr:uid="{00000000-0005-0000-0000-00003D060000}"/>
    <cellStyle name="4_DT ngay 04-01-2006" xfId="1551" xr:uid="{00000000-0005-0000-0000-00003E060000}"/>
    <cellStyle name="4_DT ngay 04-01-2006_Book1" xfId="1552" xr:uid="{00000000-0005-0000-0000-00003F060000}"/>
    <cellStyle name="4_DT ngay 11-4-2006" xfId="1553" xr:uid="{00000000-0005-0000-0000-000040060000}"/>
    <cellStyle name="4_DT ngay 11-4-2006_Book1" xfId="1554" xr:uid="{00000000-0005-0000-0000-000041060000}"/>
    <cellStyle name="4_DT ngay 15-11-05" xfId="1555" xr:uid="{00000000-0005-0000-0000-000042060000}"/>
    <cellStyle name="4_DTXL goi 11(20-9-05)" xfId="1556" xr:uid="{00000000-0005-0000-0000-000043060000}"/>
    <cellStyle name="4_du toan" xfId="1557" xr:uid="{00000000-0005-0000-0000-000044060000}"/>
    <cellStyle name="4_du toan (03-11-05)" xfId="1558" xr:uid="{00000000-0005-0000-0000-000045060000}"/>
    <cellStyle name="4_Du toan (12-05-2005) Tham dinh" xfId="1559" xr:uid="{00000000-0005-0000-0000-000046060000}"/>
    <cellStyle name="4_Du toan (12-05-2005) Tham dinh_Book1" xfId="1560" xr:uid="{00000000-0005-0000-0000-000047060000}"/>
    <cellStyle name="4_Du toan (23-05-2005) Tham dinh" xfId="1561" xr:uid="{00000000-0005-0000-0000-000048060000}"/>
    <cellStyle name="4_Du toan (23-05-2005) Tham dinh_Book1" xfId="1562" xr:uid="{00000000-0005-0000-0000-000049060000}"/>
    <cellStyle name="4_Du toan (5 - 04 - 2004)" xfId="1563" xr:uid="{00000000-0005-0000-0000-00004A060000}"/>
    <cellStyle name="4_Du toan (5 - 04 - 2004)_Book1" xfId="1564" xr:uid="{00000000-0005-0000-0000-00004B060000}"/>
    <cellStyle name="4_Du toan (6-3-2005)" xfId="1565" xr:uid="{00000000-0005-0000-0000-00004C060000}"/>
    <cellStyle name="4_Du toan (Ban A)" xfId="1566" xr:uid="{00000000-0005-0000-0000-00004D060000}"/>
    <cellStyle name="4_Du toan (Ban A)_Book1" xfId="1567" xr:uid="{00000000-0005-0000-0000-00004E060000}"/>
    <cellStyle name="4_Du toan (ngay 13 - 07 - 2004)" xfId="1568" xr:uid="{00000000-0005-0000-0000-00004F060000}"/>
    <cellStyle name="4_Du toan (ngay 13 - 07 - 2004)_Book1" xfId="1569" xr:uid="{00000000-0005-0000-0000-000050060000}"/>
    <cellStyle name="4_Du toan 558 (Km17+508.12 - Km 22)" xfId="1570" xr:uid="{00000000-0005-0000-0000-000051060000}"/>
    <cellStyle name="4_Du toan 558 (Km17+508.12 - Km 22)_BCKT-NHNN-8-4-10 " xfId="1571" xr:uid="{00000000-0005-0000-0000-000052060000}"/>
    <cellStyle name="4_Du toan 558 (Km17+508.12 - Km 22)_BCKT-NHNN-8-4-10 _Book1" xfId="1572" xr:uid="{00000000-0005-0000-0000-000053060000}"/>
    <cellStyle name="4_Du toan 558 (Km17+508.12 - Km 22)_Book1" xfId="1573" xr:uid="{00000000-0005-0000-0000-000054060000}"/>
    <cellStyle name="4_Du toan 558 (Km17+508.12 - Km 22)_Du kien giai ngan cac du an den 30-6-16-OK" xfId="1574" xr:uid="{00000000-0005-0000-0000-000055060000}"/>
    <cellStyle name="4_Du toan 558 (Km17+508.12 - Km 22)_Du kien giai ngan cac du an den 30-6-16-OK_Book1" xfId="1575" xr:uid="{00000000-0005-0000-0000-000056060000}"/>
    <cellStyle name="4_Du toan 558 (Km17+508.12 - Km 22)_MK-TK" xfId="1576" xr:uid="{00000000-0005-0000-0000-000057060000}"/>
    <cellStyle name="4_Du toan 558 (Km17+508.12 - Km 22)_MK-TK_Book1" xfId="1577" xr:uid="{00000000-0005-0000-0000-000058060000}"/>
    <cellStyle name="4_Du toan bo sung (11-2004)" xfId="1578" xr:uid="{00000000-0005-0000-0000-000059060000}"/>
    <cellStyle name="4_Du toan Cang Vung Ang ngay 09-8-06 " xfId="1579" xr:uid="{00000000-0005-0000-0000-00005A060000}"/>
    <cellStyle name="4_Du toan Cang Vung Ang ngay 09-8-06 _Book1" xfId="1580" xr:uid="{00000000-0005-0000-0000-00005B060000}"/>
    <cellStyle name="4_Du toan Goi 1" xfId="1581" xr:uid="{00000000-0005-0000-0000-00005C060000}"/>
    <cellStyle name="4_Du toan Goi 1_Book1" xfId="1582" xr:uid="{00000000-0005-0000-0000-00005D060000}"/>
    <cellStyle name="4_du toan goi 12" xfId="1583" xr:uid="{00000000-0005-0000-0000-00005E060000}"/>
    <cellStyle name="4_Du toan Goi 2" xfId="1584" xr:uid="{00000000-0005-0000-0000-00005F060000}"/>
    <cellStyle name="4_Du toan Goi 2_Book1" xfId="1585" xr:uid="{00000000-0005-0000-0000-000060060000}"/>
    <cellStyle name="4_Du toan KT-TCsua theo TT 03 - YC 471" xfId="1586" xr:uid="{00000000-0005-0000-0000-000061060000}"/>
    <cellStyle name="4_Du toan KT-TCsua theo TT 03 - YC 471_Book1" xfId="1587" xr:uid="{00000000-0005-0000-0000-000062060000}"/>
    <cellStyle name="4_Du toan ngay (28-10-2005)" xfId="1588" xr:uid="{00000000-0005-0000-0000-000063060000}"/>
    <cellStyle name="4_Du toan ngay (28-10-2005)_Book1" xfId="1589" xr:uid="{00000000-0005-0000-0000-000064060000}"/>
    <cellStyle name="4_Du toan ngay 1-9-2004 (version 1)" xfId="1590" xr:uid="{00000000-0005-0000-0000-000065060000}"/>
    <cellStyle name="4_Du toan ngay 1-9-2004 (version 1)_Book1" xfId="1591" xr:uid="{00000000-0005-0000-0000-000066060000}"/>
    <cellStyle name="4_Du toan Phuong lam" xfId="1592" xr:uid="{00000000-0005-0000-0000-000067060000}"/>
    <cellStyle name="4_Du toan QL 27 (23-12-2005)" xfId="1593" xr:uid="{00000000-0005-0000-0000-000068060000}"/>
    <cellStyle name="4_Du toan QL 27 (23-12-2005)_Book1" xfId="1594" xr:uid="{00000000-0005-0000-0000-000069060000}"/>
    <cellStyle name="4_DuAnKT ngay 11-2-2006" xfId="1595" xr:uid="{00000000-0005-0000-0000-00006A060000}"/>
    <cellStyle name="4_DuAnKT ngay 11-2-2006_Book1" xfId="1596" xr:uid="{00000000-0005-0000-0000-00006B060000}"/>
    <cellStyle name="4_goi 1" xfId="1617" xr:uid="{00000000-0005-0000-0000-00006C060000}"/>
    <cellStyle name="4_Goi 1 (TT04)" xfId="1618" xr:uid="{00000000-0005-0000-0000-00006D060000}"/>
    <cellStyle name="4_goi 1 duyet theo luong mo (an)" xfId="1619" xr:uid="{00000000-0005-0000-0000-00006E060000}"/>
    <cellStyle name="4_Goi 1_1" xfId="1620" xr:uid="{00000000-0005-0000-0000-00006F060000}"/>
    <cellStyle name="4_Goi 1_1_Book1" xfId="1621" xr:uid="{00000000-0005-0000-0000-000070060000}"/>
    <cellStyle name="4_Goi so 1" xfId="1622" xr:uid="{00000000-0005-0000-0000-000071060000}"/>
    <cellStyle name="4_Goi thau so 2 (20-6-2006)" xfId="1623" xr:uid="{00000000-0005-0000-0000-000072060000}"/>
    <cellStyle name="4_Goi02(25-05-2006)" xfId="1624" xr:uid="{00000000-0005-0000-0000-000073060000}"/>
    <cellStyle name="4_Goi02(25-05-2006)_Book1" xfId="1625" xr:uid="{00000000-0005-0000-0000-000074060000}"/>
    <cellStyle name="4_Goi1N206" xfId="1626" xr:uid="{00000000-0005-0000-0000-000075060000}"/>
    <cellStyle name="4_Goi1N206_Book1" xfId="1627" xr:uid="{00000000-0005-0000-0000-000076060000}"/>
    <cellStyle name="4_Goi2N206" xfId="1628" xr:uid="{00000000-0005-0000-0000-000077060000}"/>
    <cellStyle name="4_Goi2N206_Book1" xfId="1629" xr:uid="{00000000-0005-0000-0000-000078060000}"/>
    <cellStyle name="4_Goi4N216" xfId="1630" xr:uid="{00000000-0005-0000-0000-000079060000}"/>
    <cellStyle name="4_Goi4N216_Book1" xfId="1631" xr:uid="{00000000-0005-0000-0000-00007A060000}"/>
    <cellStyle name="4_Goi5N216" xfId="1632" xr:uid="{00000000-0005-0000-0000-00007B060000}"/>
    <cellStyle name="4_Goi5N216_Book1" xfId="1633" xr:uid="{00000000-0005-0000-0000-00007C060000}"/>
    <cellStyle name="4_Gia_VL cau-JIBIC-Ha-tinh" xfId="1597" xr:uid="{00000000-0005-0000-0000-00007D060000}"/>
    <cellStyle name="4_Gia_VL cau-JIBIC-Ha-tinh_Book1" xfId="1598" xr:uid="{00000000-0005-0000-0000-00007E060000}"/>
    <cellStyle name="4_Gia_VL cau-JIBIC-Ha-tinh_Du kien giai ngan cac du an den 30-6-16-OK" xfId="1599" xr:uid="{00000000-0005-0000-0000-00007F060000}"/>
    <cellStyle name="4_Gia_VL cau-JIBIC-Ha-tinh_Du kien giai ngan cac du an den 30-6-16-OK_Book1" xfId="1600" xr:uid="{00000000-0005-0000-0000-000080060000}"/>
    <cellStyle name="4_Gia_VL cau-JIBIC-Ha-tinh_MK-TK" xfId="1601" xr:uid="{00000000-0005-0000-0000-000081060000}"/>
    <cellStyle name="4_Gia_VL cau-JIBIC-Ha-tinh_MK-TK_Book1" xfId="1602" xr:uid="{00000000-0005-0000-0000-000082060000}"/>
    <cellStyle name="4_Gia_VLQL48_duyet " xfId="1603" xr:uid="{00000000-0005-0000-0000-000083060000}"/>
    <cellStyle name="4_Gia_VLQL48_duyet _BCKT-NHNN-8-4-10 " xfId="1604" xr:uid="{00000000-0005-0000-0000-000084060000}"/>
    <cellStyle name="4_Gia_VLQL48_duyet _BCKT-NHNN-8-4-10 _Book1" xfId="1605" xr:uid="{00000000-0005-0000-0000-000085060000}"/>
    <cellStyle name="4_Gia_VLQL48_duyet _Book1" xfId="1606" xr:uid="{00000000-0005-0000-0000-000086060000}"/>
    <cellStyle name="4_Gia_VLQL48_duyet _Du kien giai ngan cac du an den 30-6-16-OK" xfId="1607" xr:uid="{00000000-0005-0000-0000-000087060000}"/>
    <cellStyle name="4_Gia_VLQL48_duyet _Du kien giai ngan cac du an den 30-6-16-OK_Book1" xfId="1608" xr:uid="{00000000-0005-0000-0000-000088060000}"/>
    <cellStyle name="4_Gia_VLQL48_duyet _Mau c3-01-NS" xfId="1609" xr:uid="{00000000-0005-0000-0000-000089060000}"/>
    <cellStyle name="4_Gia_VLQL48_duyet _Mau c3-01-NS_Book1" xfId="1610" xr:uid="{00000000-0005-0000-0000-00008A060000}"/>
    <cellStyle name="4_Gia_VLQL48_duyet _Mau c3-01-NS_MK-TK" xfId="1611" xr:uid="{00000000-0005-0000-0000-00008B060000}"/>
    <cellStyle name="4_Gia_VLQL48_duyet _Mau c3-01-NS_MK-TK_Book1" xfId="1612" xr:uid="{00000000-0005-0000-0000-00008C060000}"/>
    <cellStyle name="4_Gia_VLQL48_duyet _MK-TK" xfId="1613" xr:uid="{00000000-0005-0000-0000-00008D060000}"/>
    <cellStyle name="4_Gia_VLQL48_duyet _MK-TK_Book1" xfId="1614" xr:uid="{00000000-0005-0000-0000-00008E060000}"/>
    <cellStyle name="4_Gia_VLQL48_duyet _THDA MyKhe-TraKhuc (Km35-Km47) - 280213 (Dot 3)" xfId="1615" xr:uid="{00000000-0005-0000-0000-00008F060000}"/>
    <cellStyle name="4_Gia_VLQL48_duyet _THDA MyKhe-TraKhuc (Km35-Km47) - 280213 (Dot 3)_Book1" xfId="1616" xr:uid="{00000000-0005-0000-0000-000090060000}"/>
    <cellStyle name="4_Hoi Song" xfId="1634" xr:uid="{00000000-0005-0000-0000-000091060000}"/>
    <cellStyle name="4_HT-LO" xfId="1635" xr:uid="{00000000-0005-0000-0000-000092060000}"/>
    <cellStyle name="4_HT-LO_Book1" xfId="1636" xr:uid="{00000000-0005-0000-0000-000093060000}"/>
    <cellStyle name="4_Kl6-6-05" xfId="1643" xr:uid="{00000000-0005-0000-0000-000094060000}"/>
    <cellStyle name="4_Klnutgiao" xfId="1644" xr:uid="{00000000-0005-0000-0000-000095060000}"/>
    <cellStyle name="4_KLPA2s" xfId="1645" xr:uid="{00000000-0005-0000-0000-000096060000}"/>
    <cellStyle name="4_KlQdinhduyet" xfId="1646" xr:uid="{00000000-0005-0000-0000-000097060000}"/>
    <cellStyle name="4_KlQdinhduyet_BCKT-NHNN-8-4-10 " xfId="1647" xr:uid="{00000000-0005-0000-0000-000098060000}"/>
    <cellStyle name="4_KlQdinhduyet_BCKT-NHNN-8-4-10 _Book1" xfId="1648" xr:uid="{00000000-0005-0000-0000-000099060000}"/>
    <cellStyle name="4_KlQdinhduyet_Book1" xfId="1649" xr:uid="{00000000-0005-0000-0000-00009A060000}"/>
    <cellStyle name="4_KlQdinhduyet_Du kien giai ngan cac du an den 30-6-16-OK" xfId="1650" xr:uid="{00000000-0005-0000-0000-00009B060000}"/>
    <cellStyle name="4_KlQdinhduyet_Du kien giai ngan cac du an den 30-6-16-OK_Book1" xfId="1651" xr:uid="{00000000-0005-0000-0000-00009C060000}"/>
    <cellStyle name="4_KlQdinhduyet_MK-TK" xfId="1652" xr:uid="{00000000-0005-0000-0000-00009D060000}"/>
    <cellStyle name="4_KlQdinhduyet_MK-TK_Book1" xfId="1653" xr:uid="{00000000-0005-0000-0000-00009E060000}"/>
    <cellStyle name="4_KlQL4goi5KCS" xfId="1654" xr:uid="{00000000-0005-0000-0000-00009F060000}"/>
    <cellStyle name="4_Kltayth" xfId="1655" xr:uid="{00000000-0005-0000-0000-0000A0060000}"/>
    <cellStyle name="4_KltaythQDduyet" xfId="1656" xr:uid="{00000000-0005-0000-0000-0000A1060000}"/>
    <cellStyle name="4_Kluong4-2004" xfId="1657" xr:uid="{00000000-0005-0000-0000-0000A2060000}"/>
    <cellStyle name="4_Kluong4-2004_Book1" xfId="1658" xr:uid="{00000000-0005-0000-0000-0000A3060000}"/>
    <cellStyle name="4_Khoi luong" xfId="1637" xr:uid="{00000000-0005-0000-0000-0000A4060000}"/>
    <cellStyle name="4_Khoi luong doan 1" xfId="1638" xr:uid="{00000000-0005-0000-0000-0000A5060000}"/>
    <cellStyle name="4_Khoi luong doan 1_Book1" xfId="1639" xr:uid="{00000000-0005-0000-0000-0000A6060000}"/>
    <cellStyle name="4_Khoi Luong Hoang Truong - Hoang Phu" xfId="1640" xr:uid="{00000000-0005-0000-0000-0000A7060000}"/>
    <cellStyle name="4_Khoi Luong Hoang Truong - Hoang Phu_Book1" xfId="1641" xr:uid="{00000000-0005-0000-0000-0000A8060000}"/>
    <cellStyle name="4_Khoi luong_Book1" xfId="1642" xr:uid="{00000000-0005-0000-0000-0000A9060000}"/>
    <cellStyle name="4_Luong A6" xfId="1659" xr:uid="{00000000-0005-0000-0000-0000AA060000}"/>
    <cellStyle name="4_maugiacotaluy" xfId="1660" xr:uid="{00000000-0005-0000-0000-0000AB060000}"/>
    <cellStyle name="4_My Thanh Son Thanh" xfId="1661" xr:uid="{00000000-0005-0000-0000-0000AC060000}"/>
    <cellStyle name="4_Nhom I" xfId="1662" xr:uid="{00000000-0005-0000-0000-0000AD060000}"/>
    <cellStyle name="4_Nhom I_Book1" xfId="1663" xr:uid="{00000000-0005-0000-0000-0000AE060000}"/>
    <cellStyle name="4_Project N.Du" xfId="1664" xr:uid="{00000000-0005-0000-0000-0000AF060000}"/>
    <cellStyle name="4_Project N.Du.dien" xfId="1665" xr:uid="{00000000-0005-0000-0000-0000B0060000}"/>
    <cellStyle name="4_Project N.Du_Book1" xfId="1666" xr:uid="{00000000-0005-0000-0000-0000B1060000}"/>
    <cellStyle name="4_Project QL4" xfId="1667" xr:uid="{00000000-0005-0000-0000-0000B2060000}"/>
    <cellStyle name="4_Project QL4 goi 7" xfId="1668" xr:uid="{00000000-0005-0000-0000-0000B3060000}"/>
    <cellStyle name="4_Project QL4 goi 7_Book1" xfId="1669" xr:uid="{00000000-0005-0000-0000-0000B4060000}"/>
    <cellStyle name="4_Project QL4 goi5" xfId="1670" xr:uid="{00000000-0005-0000-0000-0000B5060000}"/>
    <cellStyle name="4_Project QL4 goi8" xfId="1671" xr:uid="{00000000-0005-0000-0000-0000B6060000}"/>
    <cellStyle name="4_QL1A-SUA2005" xfId="1672" xr:uid="{00000000-0005-0000-0000-0000B7060000}"/>
    <cellStyle name="4_QL1A-SUA2005_Book1" xfId="1673" xr:uid="{00000000-0005-0000-0000-0000B8060000}"/>
    <cellStyle name="4_Sheet1" xfId="1674" xr:uid="{00000000-0005-0000-0000-0000B9060000}"/>
    <cellStyle name="4_SuoiTon" xfId="1675" xr:uid="{00000000-0005-0000-0000-0000BA060000}"/>
    <cellStyle name="4_SuoiTon_Book1" xfId="1676" xr:uid="{00000000-0005-0000-0000-0000BB060000}"/>
    <cellStyle name="4_t" xfId="1677" xr:uid="{00000000-0005-0000-0000-0000BC060000}"/>
    <cellStyle name="4_Tay THoa" xfId="1678" xr:uid="{00000000-0005-0000-0000-0000BD060000}"/>
    <cellStyle name="4_Tay THoa_Book1" xfId="1679" xr:uid="{00000000-0005-0000-0000-0000BE060000}"/>
    <cellStyle name="4_Tong hop DT dieu chinh duong 38-95" xfId="1680" xr:uid="{00000000-0005-0000-0000-0000BF060000}"/>
    <cellStyle name="4_Tong hop khoi luong duong 557 (30-5-2006)" xfId="1681" xr:uid="{00000000-0005-0000-0000-0000C0060000}"/>
    <cellStyle name="4_Tong muc dau tu" xfId="1682" xr:uid="{00000000-0005-0000-0000-0000C1060000}"/>
    <cellStyle name="4_Tuyen so 1-Km0+00 - Km0+852.56" xfId="1683" xr:uid="{00000000-0005-0000-0000-0000C2060000}"/>
    <cellStyle name="4_Tuyen so 1-Km0+00 - Km0+852.56_Book1" xfId="1684" xr:uid="{00000000-0005-0000-0000-0000C3060000}"/>
    <cellStyle name="4_VatLieu 3 cau -NA" xfId="1685" xr:uid="{00000000-0005-0000-0000-0000C4060000}"/>
    <cellStyle name="4_VatLieu 3 cau -NA_Book1" xfId="1686" xr:uid="{00000000-0005-0000-0000-0000C5060000}"/>
    <cellStyle name="4_VatLieu 3 cau -NA_Du kien giai ngan cac du an den 30-6-16-OK" xfId="1687" xr:uid="{00000000-0005-0000-0000-0000C6060000}"/>
    <cellStyle name="4_VatLieu 3 cau -NA_Du kien giai ngan cac du an den 30-6-16-OK_Book1" xfId="1688" xr:uid="{00000000-0005-0000-0000-0000C7060000}"/>
    <cellStyle name="4_VatLieu 3 cau -NA_MK-TK" xfId="1689" xr:uid="{00000000-0005-0000-0000-0000C8060000}"/>
    <cellStyle name="4_VatLieu 3 cau -NA_MK-TK_Book1" xfId="1690" xr:uid="{00000000-0005-0000-0000-0000C9060000}"/>
    <cellStyle name="4_ÿÿÿÿÿ" xfId="1691" xr:uid="{00000000-0005-0000-0000-0000CA060000}"/>
    <cellStyle name="4_ÿÿÿÿÿ_1" xfId="1692" xr:uid="{00000000-0005-0000-0000-0000CB060000}"/>
    <cellStyle name="4_ÿÿÿÿÿ_1_Book1" xfId="1693" xr:uid="{00000000-0005-0000-0000-0000CC060000}"/>
    <cellStyle name="40% - Accent1 2" xfId="1694" xr:uid="{00000000-0005-0000-0000-0000CD060000}"/>
    <cellStyle name="40% - Accent1 2 2" xfId="1695" xr:uid="{00000000-0005-0000-0000-0000CE060000}"/>
    <cellStyle name="40% - Accent1 2_Book1" xfId="1696" xr:uid="{00000000-0005-0000-0000-0000CF060000}"/>
    <cellStyle name="40% - Accent1 3" xfId="1697" xr:uid="{00000000-0005-0000-0000-0000D0060000}"/>
    <cellStyle name="40% - Accent2 2" xfId="1698" xr:uid="{00000000-0005-0000-0000-0000D1060000}"/>
    <cellStyle name="40% - Accent2 2 2" xfId="1699" xr:uid="{00000000-0005-0000-0000-0000D2060000}"/>
    <cellStyle name="40% - Accent2 2_Book1" xfId="1700" xr:uid="{00000000-0005-0000-0000-0000D3060000}"/>
    <cellStyle name="40% - Accent2 3" xfId="1701" xr:uid="{00000000-0005-0000-0000-0000D4060000}"/>
    <cellStyle name="40% - Accent3 2" xfId="1702" xr:uid="{00000000-0005-0000-0000-0000D5060000}"/>
    <cellStyle name="40% - Accent3 2 2" xfId="1703" xr:uid="{00000000-0005-0000-0000-0000D6060000}"/>
    <cellStyle name="40% - Accent3 2_Book1" xfId="1704" xr:uid="{00000000-0005-0000-0000-0000D7060000}"/>
    <cellStyle name="40% - Accent3 3" xfId="1705" xr:uid="{00000000-0005-0000-0000-0000D8060000}"/>
    <cellStyle name="40% - Accent4 2" xfId="1706" xr:uid="{00000000-0005-0000-0000-0000D9060000}"/>
    <cellStyle name="40% - Accent4 2 2" xfId="1707" xr:uid="{00000000-0005-0000-0000-0000DA060000}"/>
    <cellStyle name="40% - Accent4 2_Book1" xfId="1708" xr:uid="{00000000-0005-0000-0000-0000DB060000}"/>
    <cellStyle name="40% - Accent4 3" xfId="1709" xr:uid="{00000000-0005-0000-0000-0000DC060000}"/>
    <cellStyle name="40% - Accent5 2" xfId="1710" xr:uid="{00000000-0005-0000-0000-0000DD060000}"/>
    <cellStyle name="40% - Accent5 2 2" xfId="1711" xr:uid="{00000000-0005-0000-0000-0000DE060000}"/>
    <cellStyle name="40% - Accent5 2_Book1" xfId="1712" xr:uid="{00000000-0005-0000-0000-0000DF060000}"/>
    <cellStyle name="40% - Accent5 3" xfId="1713" xr:uid="{00000000-0005-0000-0000-0000E0060000}"/>
    <cellStyle name="40% - Accent6 2" xfId="1714" xr:uid="{00000000-0005-0000-0000-0000E1060000}"/>
    <cellStyle name="40% - Accent6 2 2" xfId="1715" xr:uid="{00000000-0005-0000-0000-0000E2060000}"/>
    <cellStyle name="40% - Accent6 2_Book1" xfId="1716" xr:uid="{00000000-0005-0000-0000-0000E3060000}"/>
    <cellStyle name="40% - Accent6 3" xfId="1717" xr:uid="{00000000-0005-0000-0000-0000E4060000}"/>
    <cellStyle name="40% - Nhấn1" xfId="1718" xr:uid="{00000000-0005-0000-0000-0000E5060000}"/>
    <cellStyle name="40% - Nhấn2" xfId="1719" xr:uid="{00000000-0005-0000-0000-0000E6060000}"/>
    <cellStyle name="40% - Nhấn3" xfId="1720" xr:uid="{00000000-0005-0000-0000-0000E7060000}"/>
    <cellStyle name="40% - Nhấn4" xfId="1721" xr:uid="{00000000-0005-0000-0000-0000E8060000}"/>
    <cellStyle name="40% - Nhấn5" xfId="1722" xr:uid="{00000000-0005-0000-0000-0000E9060000}"/>
    <cellStyle name="40% - Nhấn6" xfId="1723" xr:uid="{00000000-0005-0000-0000-0000EA060000}"/>
    <cellStyle name="510T" xfId="1724" xr:uid="{00000000-0005-0000-0000-0000EB060000}"/>
    <cellStyle name="6" xfId="1725" xr:uid="{00000000-0005-0000-0000-0000EC060000}"/>
    <cellStyle name="6_BangMTC" xfId="1726" xr:uid="{00000000-0005-0000-0000-0000ED060000}"/>
    <cellStyle name="6_BangMTC_Book1" xfId="1727" xr:uid="{00000000-0005-0000-0000-0000EE060000}"/>
    <cellStyle name="6_BangNC" xfId="1728" xr:uid="{00000000-0005-0000-0000-0000EF060000}"/>
    <cellStyle name="6_BangNC_Book1" xfId="1729" xr:uid="{00000000-0005-0000-0000-0000F0060000}"/>
    <cellStyle name="6_Book1" xfId="1730" xr:uid="{00000000-0005-0000-0000-0000F1060000}"/>
    <cellStyle name="6_Book1_Book1" xfId="1731" xr:uid="{00000000-0005-0000-0000-0000F2060000}"/>
    <cellStyle name="6_Du kien giai ngan cac du an den 30-6-16-OK" xfId="1732" xr:uid="{00000000-0005-0000-0000-0000F3060000}"/>
    <cellStyle name="6_Du kien giai ngan cac du an den 30-6-16-OK_Book1" xfId="1733" xr:uid="{00000000-0005-0000-0000-0000F4060000}"/>
    <cellStyle name="6_GIA CA MAY moi 2014" xfId="1734" xr:uid="{00000000-0005-0000-0000-0000F5060000}"/>
    <cellStyle name="6_GIA CA MAY moi 2014_Book1" xfId="1735" xr:uid="{00000000-0005-0000-0000-0000F6060000}"/>
    <cellStyle name="60% - Accent1 2" xfId="1736" xr:uid="{00000000-0005-0000-0000-0000F7060000}"/>
    <cellStyle name="60% - Accent1 2 2" xfId="1737" xr:uid="{00000000-0005-0000-0000-0000F8060000}"/>
    <cellStyle name="60% - Accent1 2_Book1" xfId="1738" xr:uid="{00000000-0005-0000-0000-0000F9060000}"/>
    <cellStyle name="60% - Accent1 3" xfId="1739" xr:uid="{00000000-0005-0000-0000-0000FA060000}"/>
    <cellStyle name="60% - Accent2 2" xfId="1740" xr:uid="{00000000-0005-0000-0000-0000FB060000}"/>
    <cellStyle name="60% - Accent2 2 2" xfId="1741" xr:uid="{00000000-0005-0000-0000-0000FC060000}"/>
    <cellStyle name="60% - Accent2 2_Book1" xfId="1742" xr:uid="{00000000-0005-0000-0000-0000FD060000}"/>
    <cellStyle name="60% - Accent2 3" xfId="1743" xr:uid="{00000000-0005-0000-0000-0000FE060000}"/>
    <cellStyle name="60% - Accent3 2" xfId="1744" xr:uid="{00000000-0005-0000-0000-0000FF060000}"/>
    <cellStyle name="60% - Accent3 2 2" xfId="1745" xr:uid="{00000000-0005-0000-0000-000000070000}"/>
    <cellStyle name="60% - Accent3 2_Book1" xfId="1746" xr:uid="{00000000-0005-0000-0000-000001070000}"/>
    <cellStyle name="60% - Accent3 3" xfId="1747" xr:uid="{00000000-0005-0000-0000-000002070000}"/>
    <cellStyle name="60% - Accent4 2" xfId="1748" xr:uid="{00000000-0005-0000-0000-000003070000}"/>
    <cellStyle name="60% - Accent4 2 2" xfId="1749" xr:uid="{00000000-0005-0000-0000-000004070000}"/>
    <cellStyle name="60% - Accent4 2_Book1" xfId="1750" xr:uid="{00000000-0005-0000-0000-000005070000}"/>
    <cellStyle name="60% - Accent4 3" xfId="1751" xr:uid="{00000000-0005-0000-0000-000006070000}"/>
    <cellStyle name="60% - Accent5 2" xfId="1752" xr:uid="{00000000-0005-0000-0000-000007070000}"/>
    <cellStyle name="60% - Accent5 2 2" xfId="1753" xr:uid="{00000000-0005-0000-0000-000008070000}"/>
    <cellStyle name="60% - Accent5 2_Book1" xfId="1754" xr:uid="{00000000-0005-0000-0000-000009070000}"/>
    <cellStyle name="60% - Accent5 3" xfId="1755" xr:uid="{00000000-0005-0000-0000-00000A070000}"/>
    <cellStyle name="60% - Accent6 2" xfId="1756" xr:uid="{00000000-0005-0000-0000-00000B070000}"/>
    <cellStyle name="60% - Accent6 2 2" xfId="1757" xr:uid="{00000000-0005-0000-0000-00000C070000}"/>
    <cellStyle name="60% - Accent6 2_Book1" xfId="1758" xr:uid="{00000000-0005-0000-0000-00000D070000}"/>
    <cellStyle name="60% - Accent6 3" xfId="1759" xr:uid="{00000000-0005-0000-0000-00000E070000}"/>
    <cellStyle name="60% - Nhấn1" xfId="1760" xr:uid="{00000000-0005-0000-0000-00000F070000}"/>
    <cellStyle name="60% - Nhấn2" xfId="1761" xr:uid="{00000000-0005-0000-0000-000010070000}"/>
    <cellStyle name="60% - Nhấn3" xfId="1762" xr:uid="{00000000-0005-0000-0000-000011070000}"/>
    <cellStyle name="60% - Nhấn4" xfId="1763" xr:uid="{00000000-0005-0000-0000-000012070000}"/>
    <cellStyle name="60% - Nhấn5" xfId="1764" xr:uid="{00000000-0005-0000-0000-000013070000}"/>
    <cellStyle name="60% - Nhấn6" xfId="1765" xr:uid="{00000000-0005-0000-0000-000014070000}"/>
    <cellStyle name="9" xfId="1766" xr:uid="{00000000-0005-0000-0000-000015070000}"/>
    <cellStyle name="9_Book1" xfId="1767" xr:uid="{00000000-0005-0000-0000-000016070000}"/>
    <cellStyle name="a" xfId="1768" xr:uid="{00000000-0005-0000-0000-000017070000}"/>
    <cellStyle name="A?¸¶ [0]_INQUIRY ??¾÷A?A? " xfId="1769" xr:uid="{00000000-0005-0000-0000-000018070000}"/>
    <cellStyle name="A?¸¶_INQUIRY ??¾÷A?A? " xfId="1770" xr:uid="{00000000-0005-0000-0000-000019070000}"/>
    <cellStyle name="a_Book1" xfId="1771" xr:uid="{00000000-0005-0000-0000-00001A070000}"/>
    <cellStyle name="_x0001_Å»_x001e_´ " xfId="1772" xr:uid="{00000000-0005-0000-0000-00001B070000}"/>
    <cellStyle name="_x0001_Å»_x001e_´_" xfId="1773" xr:uid="{00000000-0005-0000-0000-00001C070000}"/>
    <cellStyle name="Accent1 - 20%" xfId="1774" xr:uid="{00000000-0005-0000-0000-00001D070000}"/>
    <cellStyle name="Accent1 - 40%" xfId="1775" xr:uid="{00000000-0005-0000-0000-00001E070000}"/>
    <cellStyle name="Accent1 - 60%" xfId="1776" xr:uid="{00000000-0005-0000-0000-00001F070000}"/>
    <cellStyle name="Accent1 2" xfId="1777" xr:uid="{00000000-0005-0000-0000-000020070000}"/>
    <cellStyle name="Accent1 2 2" xfId="1778" xr:uid="{00000000-0005-0000-0000-000021070000}"/>
    <cellStyle name="Accent1 2_Book1" xfId="1779" xr:uid="{00000000-0005-0000-0000-000022070000}"/>
    <cellStyle name="Accent1 3" xfId="1780" xr:uid="{00000000-0005-0000-0000-000023070000}"/>
    <cellStyle name="Accent2 - 20%" xfId="1781" xr:uid="{00000000-0005-0000-0000-000024070000}"/>
    <cellStyle name="Accent2 - 40%" xfId="1782" xr:uid="{00000000-0005-0000-0000-000025070000}"/>
    <cellStyle name="Accent2 - 60%" xfId="1783" xr:uid="{00000000-0005-0000-0000-000026070000}"/>
    <cellStyle name="Accent2 2" xfId="1784" xr:uid="{00000000-0005-0000-0000-000027070000}"/>
    <cellStyle name="Accent2 2 2" xfId="1785" xr:uid="{00000000-0005-0000-0000-000028070000}"/>
    <cellStyle name="Accent2 2_Book1" xfId="1786" xr:uid="{00000000-0005-0000-0000-000029070000}"/>
    <cellStyle name="Accent2 3" xfId="1787" xr:uid="{00000000-0005-0000-0000-00002A070000}"/>
    <cellStyle name="Accent3 - 20%" xfId="1788" xr:uid="{00000000-0005-0000-0000-00002B070000}"/>
    <cellStyle name="Accent3 - 40%" xfId="1789" xr:uid="{00000000-0005-0000-0000-00002C070000}"/>
    <cellStyle name="Accent3 - 60%" xfId="1790" xr:uid="{00000000-0005-0000-0000-00002D070000}"/>
    <cellStyle name="Accent3 2" xfId="1791" xr:uid="{00000000-0005-0000-0000-00002E070000}"/>
    <cellStyle name="Accent3 2 2" xfId="1792" xr:uid="{00000000-0005-0000-0000-00002F070000}"/>
    <cellStyle name="Accent3 2_Book1" xfId="1793" xr:uid="{00000000-0005-0000-0000-000030070000}"/>
    <cellStyle name="Accent3 3" xfId="1794" xr:uid="{00000000-0005-0000-0000-000031070000}"/>
    <cellStyle name="Accent4 - 20%" xfId="1795" xr:uid="{00000000-0005-0000-0000-000032070000}"/>
    <cellStyle name="Accent4 - 40%" xfId="1796" xr:uid="{00000000-0005-0000-0000-000033070000}"/>
    <cellStyle name="Accent4 - 60%" xfId="1797" xr:uid="{00000000-0005-0000-0000-000034070000}"/>
    <cellStyle name="Accent4 2" xfId="1798" xr:uid="{00000000-0005-0000-0000-000035070000}"/>
    <cellStyle name="Accent4 2 2" xfId="1799" xr:uid="{00000000-0005-0000-0000-000036070000}"/>
    <cellStyle name="Accent4 2_Book1" xfId="1800" xr:uid="{00000000-0005-0000-0000-000037070000}"/>
    <cellStyle name="Accent4 3" xfId="1801" xr:uid="{00000000-0005-0000-0000-000038070000}"/>
    <cellStyle name="Accent5 - 20%" xfId="1802" xr:uid="{00000000-0005-0000-0000-000039070000}"/>
    <cellStyle name="Accent5 - 40%" xfId="1803" xr:uid="{00000000-0005-0000-0000-00003A070000}"/>
    <cellStyle name="Accent5 - 60%" xfId="1804" xr:uid="{00000000-0005-0000-0000-00003B070000}"/>
    <cellStyle name="Accent5 2" xfId="1805" xr:uid="{00000000-0005-0000-0000-00003C070000}"/>
    <cellStyle name="Accent5 2 2" xfId="1806" xr:uid="{00000000-0005-0000-0000-00003D070000}"/>
    <cellStyle name="Accent5 2_Book1" xfId="1807" xr:uid="{00000000-0005-0000-0000-00003E070000}"/>
    <cellStyle name="Accent5 3" xfId="1808" xr:uid="{00000000-0005-0000-0000-00003F070000}"/>
    <cellStyle name="Accent6 - 20%" xfId="1809" xr:uid="{00000000-0005-0000-0000-000040070000}"/>
    <cellStyle name="Accent6 - 40%" xfId="1810" xr:uid="{00000000-0005-0000-0000-000041070000}"/>
    <cellStyle name="Accent6 - 60%" xfId="1811" xr:uid="{00000000-0005-0000-0000-000042070000}"/>
    <cellStyle name="Accent6 2" xfId="1812" xr:uid="{00000000-0005-0000-0000-000043070000}"/>
    <cellStyle name="Accent6 2 2" xfId="1813" xr:uid="{00000000-0005-0000-0000-000044070000}"/>
    <cellStyle name="Accent6 2_Book1" xfId="1814" xr:uid="{00000000-0005-0000-0000-000045070000}"/>
    <cellStyle name="Accent6 3" xfId="1815" xr:uid="{00000000-0005-0000-0000-000046070000}"/>
    <cellStyle name="ÅëÈ­ [0]_      " xfId="1816" xr:uid="{00000000-0005-0000-0000-000047070000}"/>
    <cellStyle name="AeE­ [0]_INQUIRY ??¾÷A?A? " xfId="1817" xr:uid="{00000000-0005-0000-0000-000048070000}"/>
    <cellStyle name="ÅëÈ­ [0]_L601CPT" xfId="1818" xr:uid="{00000000-0005-0000-0000-000049070000}"/>
    <cellStyle name="ÅëÈ­_      " xfId="1819" xr:uid="{00000000-0005-0000-0000-00004A070000}"/>
    <cellStyle name="AeE­_INQUIRY ?µ¾÷A?A? " xfId="1820" xr:uid="{00000000-0005-0000-0000-00004B070000}"/>
    <cellStyle name="ÅëÈ­_L601CPT" xfId="1821" xr:uid="{00000000-0005-0000-0000-00004C070000}"/>
    <cellStyle name="APPEAR" xfId="1822" xr:uid="{00000000-0005-0000-0000-00004D070000}"/>
    <cellStyle name="args.style" xfId="1823" xr:uid="{00000000-0005-0000-0000-00004E070000}"/>
    <cellStyle name="ÄÞ¸¶ [0]_      " xfId="1824" xr:uid="{00000000-0005-0000-0000-00004F070000}"/>
    <cellStyle name="AÞ¸¶ [0]_INQUIRY ¿?¾÷AßAø " xfId="1825" xr:uid="{00000000-0005-0000-0000-000050070000}"/>
    <cellStyle name="ÄÞ¸¶ [0]_L601CPT" xfId="1826" xr:uid="{00000000-0005-0000-0000-000051070000}"/>
    <cellStyle name="ÄÞ¸¶_      " xfId="1827" xr:uid="{00000000-0005-0000-0000-000052070000}"/>
    <cellStyle name="AÞ¸¶_INQUIRY ¿?¾÷AßAø " xfId="1828" xr:uid="{00000000-0005-0000-0000-000053070000}"/>
    <cellStyle name="ÄÞ¸¶_L601CPT" xfId="1829" xr:uid="{00000000-0005-0000-0000-000054070000}"/>
    <cellStyle name="AutoFormat Options" xfId="1830" xr:uid="{00000000-0005-0000-0000-000055070000}"/>
    <cellStyle name="B" xfId="1831" xr:uid="{00000000-0005-0000-0000-000056070000}"/>
    <cellStyle name="B_pb npl quy 3" xfId="1832" xr:uid="{00000000-0005-0000-0000-000057070000}"/>
    <cellStyle name="B_phieu kt" xfId="1833" xr:uid="{00000000-0005-0000-0000-000058070000}"/>
    <cellStyle name="Bad 2" xfId="1834" xr:uid="{00000000-0005-0000-0000-000059070000}"/>
    <cellStyle name="Bad 2 2" xfId="1835" xr:uid="{00000000-0005-0000-0000-00005A070000}"/>
    <cellStyle name="Bad 2_Book1" xfId="1836" xr:uid="{00000000-0005-0000-0000-00005B070000}"/>
    <cellStyle name="Bad 3" xfId="1837" xr:uid="{00000000-0005-0000-0000-00005C070000}"/>
    <cellStyle name="Bangchu" xfId="1838" xr:uid="{00000000-0005-0000-0000-00005D070000}"/>
    <cellStyle name="BILL??" xfId="1839" xr:uid="{00000000-0005-0000-0000-00005E070000}"/>
    <cellStyle name="BILL제목" xfId="1840" xr:uid="{00000000-0005-0000-0000-00005F070000}"/>
    <cellStyle name="Body" xfId="1841" xr:uid="{00000000-0005-0000-0000-000060070000}"/>
    <cellStyle name="Border" xfId="1842" xr:uid="{00000000-0005-0000-0000-000061070000}"/>
    <cellStyle name="BuiltIn_Style_255" xfId="1843" xr:uid="{00000000-0005-0000-0000-000062070000}"/>
    <cellStyle name="C?A?_??¾÷CoE² " xfId="1844" xr:uid="{00000000-0005-0000-0000-000063070000}"/>
    <cellStyle name="C?AØ_?c¾÷ºIº° AN°e " xfId="1845" xr:uid="{00000000-0005-0000-0000-000064070000}"/>
    <cellStyle name="C~1" xfId="1846" xr:uid="{00000000-0005-0000-0000-000065070000}"/>
    <cellStyle name="Ç¥ÁØ_      " xfId="1847" xr:uid="{00000000-0005-0000-0000-000066070000}"/>
    <cellStyle name="C￥AØ_¿μ¾÷CoE² " xfId="1848" xr:uid="{00000000-0005-0000-0000-000067070000}"/>
    <cellStyle name="Ç¥ÁØ_±¸¹Ì´ëÃ¥" xfId="1849" xr:uid="{00000000-0005-0000-0000-000068070000}"/>
    <cellStyle name="C￥AØ_Sheet1_¿μ¾÷CoE² " xfId="1850" xr:uid="{00000000-0005-0000-0000-000069070000}"/>
    <cellStyle name="Calc Currency (0)" xfId="1851" xr:uid="{00000000-0005-0000-0000-00006A070000}"/>
    <cellStyle name="Calc Currency (2)" xfId="1852" xr:uid="{00000000-0005-0000-0000-00006B070000}"/>
    <cellStyle name="Calc Percent (0)" xfId="1853" xr:uid="{00000000-0005-0000-0000-00006C070000}"/>
    <cellStyle name="Calc Percent (1)" xfId="1854" xr:uid="{00000000-0005-0000-0000-00006D070000}"/>
    <cellStyle name="Calc Percent (2)" xfId="1855" xr:uid="{00000000-0005-0000-0000-00006E070000}"/>
    <cellStyle name="Calc Units (0)" xfId="1856" xr:uid="{00000000-0005-0000-0000-00006F070000}"/>
    <cellStyle name="Calc Units (1)" xfId="1857" xr:uid="{00000000-0005-0000-0000-000070070000}"/>
    <cellStyle name="Calc Units (2)" xfId="1858" xr:uid="{00000000-0005-0000-0000-000071070000}"/>
    <cellStyle name="Calculation 2" xfId="1859" xr:uid="{00000000-0005-0000-0000-000072070000}"/>
    <cellStyle name="Calculation 2 2" xfId="1860" xr:uid="{00000000-0005-0000-0000-000073070000}"/>
    <cellStyle name="Calculation 2_Book1" xfId="1861" xr:uid="{00000000-0005-0000-0000-000074070000}"/>
    <cellStyle name="Calculation 3" xfId="1862" xr:uid="{00000000-0005-0000-0000-000075070000}"/>
    <cellStyle name="category" xfId="1863" xr:uid="{00000000-0005-0000-0000-000076070000}"/>
    <cellStyle name="CC1" xfId="1864" xr:uid="{00000000-0005-0000-0000-000077070000}"/>
    <cellStyle name="CC2" xfId="1865" xr:uid="{00000000-0005-0000-0000-000078070000}"/>
    <cellStyle name="Cerrency_Sheet2_XANGDAU" xfId="1866" xr:uid="{00000000-0005-0000-0000-000079070000}"/>
    <cellStyle name="Co?ma_Sheet1" xfId="1875" xr:uid="{00000000-0005-0000-0000-00007A070000}"/>
    <cellStyle name="Comma" xfId="1876" builtinId="3"/>
    <cellStyle name="Comma  - Style1" xfId="1877" xr:uid="{00000000-0005-0000-0000-00007C070000}"/>
    <cellStyle name="Comma  - Style2" xfId="1878" xr:uid="{00000000-0005-0000-0000-00007D070000}"/>
    <cellStyle name="Comma  - Style3" xfId="1879" xr:uid="{00000000-0005-0000-0000-00007E070000}"/>
    <cellStyle name="Comma  - Style4" xfId="1880" xr:uid="{00000000-0005-0000-0000-00007F070000}"/>
    <cellStyle name="Comma  - Style5" xfId="1881" xr:uid="{00000000-0005-0000-0000-000080070000}"/>
    <cellStyle name="Comma  - Style6" xfId="1882" xr:uid="{00000000-0005-0000-0000-000081070000}"/>
    <cellStyle name="Comma  - Style7" xfId="1883" xr:uid="{00000000-0005-0000-0000-000082070000}"/>
    <cellStyle name="Comma  - Style8" xfId="1884" xr:uid="{00000000-0005-0000-0000-000083070000}"/>
    <cellStyle name="Comma [00]" xfId="1885" xr:uid="{00000000-0005-0000-0000-000084070000}"/>
    <cellStyle name="Comma 10" xfId="2909" xr:uid="{00000000-0005-0000-0000-000085070000}"/>
    <cellStyle name="Comma 11" xfId="2875" xr:uid="{00000000-0005-0000-0000-000086070000}"/>
    <cellStyle name="Comma 12" xfId="2873" xr:uid="{00000000-0005-0000-0000-000087070000}"/>
    <cellStyle name="Comma 17" xfId="1886" xr:uid="{00000000-0005-0000-0000-000088070000}"/>
    <cellStyle name="Comma 2" xfId="1887" xr:uid="{00000000-0005-0000-0000-000089070000}"/>
    <cellStyle name="Comma 2 2" xfId="1888" xr:uid="{00000000-0005-0000-0000-00008A070000}"/>
    <cellStyle name="Comma 2 3" xfId="1889" xr:uid="{00000000-0005-0000-0000-00008B070000}"/>
    <cellStyle name="Comma 2_Du kien giai ngan cac du an den 30-6-16-OK" xfId="1890" xr:uid="{00000000-0005-0000-0000-00008C070000}"/>
    <cellStyle name="Comma 3" xfId="1891" xr:uid="{00000000-0005-0000-0000-00008D070000}"/>
    <cellStyle name="Comma 3 5" xfId="1892" xr:uid="{00000000-0005-0000-0000-00008E070000}"/>
    <cellStyle name="Comma 3_Book1" xfId="1893" xr:uid="{00000000-0005-0000-0000-00008F070000}"/>
    <cellStyle name="Comma 4" xfId="1894" xr:uid="{00000000-0005-0000-0000-000090070000}"/>
    <cellStyle name="Comma 5" xfId="1895" xr:uid="{00000000-0005-0000-0000-000091070000}"/>
    <cellStyle name="Comma 5 2" xfId="1896" xr:uid="{00000000-0005-0000-0000-000092070000}"/>
    <cellStyle name="Comma 6" xfId="1897" xr:uid="{00000000-0005-0000-0000-000093070000}"/>
    <cellStyle name="Comma 7" xfId="1898" xr:uid="{00000000-0005-0000-0000-000094070000}"/>
    <cellStyle name="Comma 8" xfId="1899" xr:uid="{00000000-0005-0000-0000-000095070000}"/>
    <cellStyle name="Comma 9" xfId="1900" xr:uid="{00000000-0005-0000-0000-000096070000}"/>
    <cellStyle name="Comma 9 2" xfId="2876" xr:uid="{00000000-0005-0000-0000-000097070000}"/>
    <cellStyle name="comma zerodec" xfId="1901" xr:uid="{00000000-0005-0000-0000-000098070000}"/>
    <cellStyle name="Comma0" xfId="1902" xr:uid="{00000000-0005-0000-0000-000099070000}"/>
    <cellStyle name="Copied" xfId="1903" xr:uid="{00000000-0005-0000-0000-00009A070000}"/>
    <cellStyle name="COST1" xfId="1904" xr:uid="{00000000-0005-0000-0000-00009B070000}"/>
    <cellStyle name="Co聭ma_Sheet1" xfId="1905" xr:uid="{00000000-0005-0000-0000-00009C070000}"/>
    <cellStyle name="Cࡵrrency_Sheet1_PRODUCTĠ" xfId="1906" xr:uid="{00000000-0005-0000-0000-00009D070000}"/>
    <cellStyle name="_x0001_CS_x0006_RMO[" xfId="1907" xr:uid="{00000000-0005-0000-0000-00009E070000}"/>
    <cellStyle name="_x0001_CS_x0006_RMO_" xfId="1908" xr:uid="{00000000-0005-0000-0000-00009F070000}"/>
    <cellStyle name="CT1" xfId="1909" xr:uid="{00000000-0005-0000-0000-0000A0070000}"/>
    <cellStyle name="CT2" xfId="1910" xr:uid="{00000000-0005-0000-0000-0000A1070000}"/>
    <cellStyle name="CT4" xfId="1911" xr:uid="{00000000-0005-0000-0000-0000A2070000}"/>
    <cellStyle name="CT5" xfId="1912" xr:uid="{00000000-0005-0000-0000-0000A3070000}"/>
    <cellStyle name="ct7" xfId="1913" xr:uid="{00000000-0005-0000-0000-0000A4070000}"/>
    <cellStyle name="ct8" xfId="1914" xr:uid="{00000000-0005-0000-0000-0000A5070000}"/>
    <cellStyle name="cth1" xfId="1915" xr:uid="{00000000-0005-0000-0000-0000A6070000}"/>
    <cellStyle name="Cthuc" xfId="1916" xr:uid="{00000000-0005-0000-0000-0000A7070000}"/>
    <cellStyle name="Cthuc1" xfId="1917" xr:uid="{00000000-0005-0000-0000-0000A8070000}"/>
    <cellStyle name="Currency [00]" xfId="1918" xr:uid="{00000000-0005-0000-0000-0000A9070000}"/>
    <cellStyle name="Currency 2" xfId="1919" xr:uid="{00000000-0005-0000-0000-0000AA070000}"/>
    <cellStyle name="Currency0" xfId="1920" xr:uid="{00000000-0005-0000-0000-0000AB070000}"/>
    <cellStyle name="Currency1" xfId="1921" xr:uid="{00000000-0005-0000-0000-0000AC070000}"/>
    <cellStyle name="chchuyen" xfId="1867" xr:uid="{00000000-0005-0000-0000-0000AD070000}"/>
    <cellStyle name="Check Cell 2" xfId="1868" xr:uid="{00000000-0005-0000-0000-0000AE070000}"/>
    <cellStyle name="Check Cell 2 2" xfId="1869" xr:uid="{00000000-0005-0000-0000-0000AF070000}"/>
    <cellStyle name="Check Cell 2_Book1" xfId="1870" xr:uid="{00000000-0005-0000-0000-0000B0070000}"/>
    <cellStyle name="Check Cell 3" xfId="1871" xr:uid="{00000000-0005-0000-0000-0000B1070000}"/>
    <cellStyle name="Chi phÝ kh¸c_Book1" xfId="1872" xr:uid="{00000000-0005-0000-0000-0000B2070000}"/>
    <cellStyle name="chu" xfId="1873" xr:uid="{00000000-0005-0000-0000-0000B3070000}"/>
    <cellStyle name="CHUONG" xfId="1874" xr:uid="{00000000-0005-0000-0000-0000B4070000}"/>
    <cellStyle name="d" xfId="1922" xr:uid="{00000000-0005-0000-0000-0000B5070000}"/>
    <cellStyle name="d%" xfId="1923" xr:uid="{00000000-0005-0000-0000-0000B6070000}"/>
    <cellStyle name="d1" xfId="1924" xr:uid="{00000000-0005-0000-0000-0000B7070000}"/>
    <cellStyle name="Date" xfId="1925" xr:uid="{00000000-0005-0000-0000-0000B8070000}"/>
    <cellStyle name="Date Short" xfId="1926" xr:uid="{00000000-0005-0000-0000-0000B9070000}"/>
    <cellStyle name="Date_Book1" xfId="1927" xr:uid="{00000000-0005-0000-0000-0000BA070000}"/>
    <cellStyle name="daude" xfId="1930" xr:uid="{00000000-0005-0000-0000-0000BB070000}"/>
    <cellStyle name="dd-m" xfId="1931" xr:uid="{00000000-0005-0000-0000-0000BC070000}"/>
    <cellStyle name="dd-mm" xfId="1932" xr:uid="{00000000-0005-0000-0000-0000BD070000}"/>
    <cellStyle name="DELTA" xfId="1937" xr:uid="{00000000-0005-0000-0000-0000BE070000}"/>
    <cellStyle name="Dezimal [0]_22002151167317Diagrammanpower" xfId="1938" xr:uid="{00000000-0005-0000-0000-0000BF070000}"/>
    <cellStyle name="Dezimal_22002151167317Diagrammanpower" xfId="1939" xr:uid="{00000000-0005-0000-0000-0000C0070000}"/>
    <cellStyle name="_x0001_dÏÈ¹ " xfId="1940" xr:uid="{00000000-0005-0000-0000-0000C1070000}"/>
    <cellStyle name="_x0001_dÏÈ¹_" xfId="1941" xr:uid="{00000000-0005-0000-0000-0000C2070000}"/>
    <cellStyle name="Dollar (zero dec)" xfId="1942" xr:uid="{00000000-0005-0000-0000-0000C3070000}"/>
    <cellStyle name="DuToanBXD" xfId="1943" xr:uid="{00000000-0005-0000-0000-0000C4070000}"/>
    <cellStyle name="Dziesi?tny [0]_Invoices2001Slovakia" xfId="1944" xr:uid="{00000000-0005-0000-0000-0000C5070000}"/>
    <cellStyle name="Dziesi?tny_Invoices2001Slovakia" xfId="1945" xr:uid="{00000000-0005-0000-0000-0000C6070000}"/>
    <cellStyle name="Dziesietny [0]_Invoices2001Slovakia" xfId="1946" xr:uid="{00000000-0005-0000-0000-0000C7070000}"/>
    <cellStyle name="Dziesiętny [0]_Invoices2001Slovakia" xfId="1947" xr:uid="{00000000-0005-0000-0000-0000C8070000}"/>
    <cellStyle name="Dziesietny [0]_Invoices2001Slovakia_Book1" xfId="1948" xr:uid="{00000000-0005-0000-0000-0000C9070000}"/>
    <cellStyle name="Dziesiętny [0]_Invoices2001Slovakia_Book1" xfId="1949" xr:uid="{00000000-0005-0000-0000-0000CA070000}"/>
    <cellStyle name="Dziesietny [0]_Invoices2001Slovakia_Book1_Tong hop Cac tuyen(9-1-06)" xfId="1950" xr:uid="{00000000-0005-0000-0000-0000CB070000}"/>
    <cellStyle name="Dziesiętny [0]_Invoices2001Slovakia_Book1_Tong hop Cac tuyen(9-1-06)" xfId="1951" xr:uid="{00000000-0005-0000-0000-0000CC070000}"/>
    <cellStyle name="Dziesietny [0]_Invoices2001Slovakia_Book1_Tong hop Cac tuyen(9-1-06)_Book1" xfId="1952" xr:uid="{00000000-0005-0000-0000-0000CD070000}"/>
    <cellStyle name="Dziesiętny [0]_Invoices2001Slovakia_Book1_Tong hop Cac tuyen(9-1-06)_Book1" xfId="1953" xr:uid="{00000000-0005-0000-0000-0000CE070000}"/>
    <cellStyle name="Dziesietny [0]_Invoices2001Slovakia_KL K.C mat duong" xfId="1954" xr:uid="{00000000-0005-0000-0000-0000CF070000}"/>
    <cellStyle name="Dziesiętny [0]_Invoices2001Slovakia_Nhalamviec VTC(25-1-05)" xfId="1955" xr:uid="{00000000-0005-0000-0000-0000D0070000}"/>
    <cellStyle name="Dziesietny [0]_Invoices2001Slovakia_TDT KHANH HOA" xfId="1956" xr:uid="{00000000-0005-0000-0000-0000D1070000}"/>
    <cellStyle name="Dziesiętny [0]_Invoices2001Slovakia_TDT KHANH HOA" xfId="1957" xr:uid="{00000000-0005-0000-0000-0000D2070000}"/>
    <cellStyle name="Dziesietny [0]_Invoices2001Slovakia_TDT KHANH HOA_Tong hop Cac tuyen(9-1-06)" xfId="1958" xr:uid="{00000000-0005-0000-0000-0000D3070000}"/>
    <cellStyle name="Dziesiętny [0]_Invoices2001Slovakia_TDT KHANH HOA_Tong hop Cac tuyen(9-1-06)" xfId="1959" xr:uid="{00000000-0005-0000-0000-0000D4070000}"/>
    <cellStyle name="Dziesietny [0]_Invoices2001Slovakia_TDT KHANH HOA_Tong hop Cac tuyen(9-1-06)_Book1" xfId="1960" xr:uid="{00000000-0005-0000-0000-0000D5070000}"/>
    <cellStyle name="Dziesiętny [0]_Invoices2001Slovakia_TDT KHANH HOA_Tong hop Cac tuyen(9-1-06)_Book1" xfId="1961" xr:uid="{00000000-0005-0000-0000-0000D6070000}"/>
    <cellStyle name="Dziesietny [0]_Invoices2001Slovakia_TDT quangngai" xfId="1962" xr:uid="{00000000-0005-0000-0000-0000D7070000}"/>
    <cellStyle name="Dziesiętny [0]_Invoices2001Slovakia_TDT quangngai" xfId="1963" xr:uid="{00000000-0005-0000-0000-0000D8070000}"/>
    <cellStyle name="Dziesietny [0]_Invoices2001Slovakia_Tong hop Cac tuyen(9-1-06)" xfId="1964" xr:uid="{00000000-0005-0000-0000-0000D9070000}"/>
    <cellStyle name="Dziesietny_Invoices2001Slovakia" xfId="1965" xr:uid="{00000000-0005-0000-0000-0000DA070000}"/>
    <cellStyle name="Dziesiętny_Invoices2001Slovakia" xfId="1966" xr:uid="{00000000-0005-0000-0000-0000DB070000}"/>
    <cellStyle name="Dziesietny_Invoices2001Slovakia_Book1" xfId="1967" xr:uid="{00000000-0005-0000-0000-0000DC070000}"/>
    <cellStyle name="Dziesiętny_Invoices2001Slovakia_Book1" xfId="1968" xr:uid="{00000000-0005-0000-0000-0000DD070000}"/>
    <cellStyle name="Dziesietny_Invoices2001Slovakia_Book1_Tong hop Cac tuyen(9-1-06)" xfId="1969" xr:uid="{00000000-0005-0000-0000-0000DE070000}"/>
    <cellStyle name="Dziesiętny_Invoices2001Slovakia_Book1_Tong hop Cac tuyen(9-1-06)" xfId="1970" xr:uid="{00000000-0005-0000-0000-0000DF070000}"/>
    <cellStyle name="Dziesietny_Invoices2001Slovakia_Book1_Tong hop Cac tuyen(9-1-06)_Book1" xfId="1971" xr:uid="{00000000-0005-0000-0000-0000E0070000}"/>
    <cellStyle name="Dziesiętny_Invoices2001Slovakia_Book1_Tong hop Cac tuyen(9-1-06)_Book1" xfId="1972" xr:uid="{00000000-0005-0000-0000-0000E1070000}"/>
    <cellStyle name="Dziesietny_Invoices2001Slovakia_KL K.C mat duong" xfId="1973" xr:uid="{00000000-0005-0000-0000-0000E2070000}"/>
    <cellStyle name="Dziesiętny_Invoices2001Slovakia_Nhalamviec VTC(25-1-05)" xfId="1974" xr:uid="{00000000-0005-0000-0000-0000E3070000}"/>
    <cellStyle name="Dziesietny_Invoices2001Slovakia_TDT KHANH HOA" xfId="1975" xr:uid="{00000000-0005-0000-0000-0000E4070000}"/>
    <cellStyle name="Dziesiętny_Invoices2001Slovakia_TDT KHANH HOA" xfId="1976" xr:uid="{00000000-0005-0000-0000-0000E5070000}"/>
    <cellStyle name="Dziesietny_Invoices2001Slovakia_TDT KHANH HOA_Tong hop Cac tuyen(9-1-06)" xfId="1977" xr:uid="{00000000-0005-0000-0000-0000E6070000}"/>
    <cellStyle name="Dziesiętny_Invoices2001Slovakia_TDT KHANH HOA_Tong hop Cac tuyen(9-1-06)" xfId="1978" xr:uid="{00000000-0005-0000-0000-0000E7070000}"/>
    <cellStyle name="Dziesietny_Invoices2001Slovakia_TDT KHANH HOA_Tong hop Cac tuyen(9-1-06)_Book1" xfId="1979" xr:uid="{00000000-0005-0000-0000-0000E8070000}"/>
    <cellStyle name="Dziesiętny_Invoices2001Slovakia_TDT KHANH HOA_Tong hop Cac tuyen(9-1-06)_Book1" xfId="1980" xr:uid="{00000000-0005-0000-0000-0000E9070000}"/>
    <cellStyle name="Dziesietny_Invoices2001Slovakia_TDT quangngai" xfId="1981" xr:uid="{00000000-0005-0000-0000-0000EA070000}"/>
    <cellStyle name="Dziesiętny_Invoices2001Slovakia_TDT quangngai" xfId="1982" xr:uid="{00000000-0005-0000-0000-0000EB070000}"/>
    <cellStyle name="Dziesietny_Invoices2001Slovakia_Tong hop Cac tuyen(9-1-06)" xfId="1983" xr:uid="{00000000-0005-0000-0000-0000EC070000}"/>
    <cellStyle name="Đầu ra" xfId="1928" xr:uid="{00000000-0005-0000-0000-0000ED070000}"/>
    <cellStyle name="Đầu vào" xfId="1929" xr:uid="{00000000-0005-0000-0000-0000EE070000}"/>
    <cellStyle name="Đề mục 1" xfId="1933" xr:uid="{00000000-0005-0000-0000-0000EF070000}"/>
    <cellStyle name="Đề mục 2" xfId="1934" xr:uid="{00000000-0005-0000-0000-0000F0070000}"/>
    <cellStyle name="Đề mục 3" xfId="1935" xr:uid="{00000000-0005-0000-0000-0000F1070000}"/>
    <cellStyle name="Đề mục 4" xfId="1936" xr:uid="{00000000-0005-0000-0000-0000F2070000}"/>
    <cellStyle name="e" xfId="1984" xr:uid="{00000000-0005-0000-0000-0000F3070000}"/>
    <cellStyle name="eeee" xfId="1985" xr:uid="{00000000-0005-0000-0000-0000F4070000}"/>
    <cellStyle name="Emphasis 1" xfId="1986" xr:uid="{00000000-0005-0000-0000-0000F5070000}"/>
    <cellStyle name="Emphasis 2" xfId="1987" xr:uid="{00000000-0005-0000-0000-0000F6070000}"/>
    <cellStyle name="Emphasis 3" xfId="1988" xr:uid="{00000000-0005-0000-0000-0000F7070000}"/>
    <cellStyle name="Enter Currency (0)" xfId="1989" xr:uid="{00000000-0005-0000-0000-0000F8070000}"/>
    <cellStyle name="Enter Currency (2)" xfId="1990" xr:uid="{00000000-0005-0000-0000-0000F9070000}"/>
    <cellStyle name="Enter Units (0)" xfId="1991" xr:uid="{00000000-0005-0000-0000-0000FA070000}"/>
    <cellStyle name="Enter Units (1)" xfId="1992" xr:uid="{00000000-0005-0000-0000-0000FB070000}"/>
    <cellStyle name="Enter Units (2)" xfId="1993" xr:uid="{00000000-0005-0000-0000-0000FC070000}"/>
    <cellStyle name="Entered" xfId="1994" xr:uid="{00000000-0005-0000-0000-0000FD070000}"/>
    <cellStyle name="En-tete1" xfId="1995" xr:uid="{00000000-0005-0000-0000-0000FE070000}"/>
    <cellStyle name="En-tete2" xfId="1996" xr:uid="{00000000-0005-0000-0000-0000FF070000}"/>
    <cellStyle name="Euro" xfId="1997" xr:uid="{00000000-0005-0000-0000-000000080000}"/>
    <cellStyle name="Explanatory Text 2" xfId="1998" xr:uid="{00000000-0005-0000-0000-000001080000}"/>
    <cellStyle name="Explanatory Text 2 2" xfId="1999" xr:uid="{00000000-0005-0000-0000-000002080000}"/>
    <cellStyle name="Explanatory Text 3" xfId="2000" xr:uid="{00000000-0005-0000-0000-000003080000}"/>
    <cellStyle name="f" xfId="2001" xr:uid="{00000000-0005-0000-0000-000004080000}"/>
    <cellStyle name="Financier" xfId="2002" xr:uid="{00000000-0005-0000-0000-000005080000}"/>
    <cellStyle name="Fixe" xfId="2003" xr:uid="{00000000-0005-0000-0000-000006080000}"/>
    <cellStyle name="Fixed" xfId="2004" xr:uid="{00000000-0005-0000-0000-000007080000}"/>
    <cellStyle name="Font Britannic16" xfId="2005" xr:uid="{00000000-0005-0000-0000-000008080000}"/>
    <cellStyle name="Font Britannic18" xfId="2006" xr:uid="{00000000-0005-0000-0000-000009080000}"/>
    <cellStyle name="Font CenturyCond 18" xfId="2007" xr:uid="{00000000-0005-0000-0000-00000A080000}"/>
    <cellStyle name="Font Cond20" xfId="2008" xr:uid="{00000000-0005-0000-0000-00000B080000}"/>
    <cellStyle name="Font Lucida sans16" xfId="2009" xr:uid="{00000000-0005-0000-0000-00000C080000}"/>
    <cellStyle name="Font LucidaSans16" xfId="2010" xr:uid="{00000000-0005-0000-0000-00000D080000}"/>
    <cellStyle name="Font NewCenturyCond18" xfId="2011" xr:uid="{00000000-0005-0000-0000-00000E080000}"/>
    <cellStyle name="Font Ottawa14" xfId="2012" xr:uid="{00000000-0005-0000-0000-00000F080000}"/>
    <cellStyle name="Font Ottawa16" xfId="2013" xr:uid="{00000000-0005-0000-0000-000010080000}"/>
    <cellStyle name="Ghi chú" xfId="2014" xr:uid="{00000000-0005-0000-0000-000011080000}"/>
    <cellStyle name="Good 2" xfId="2016" xr:uid="{00000000-0005-0000-0000-000012080000}"/>
    <cellStyle name="Good 2 2" xfId="2017" xr:uid="{00000000-0005-0000-0000-000013080000}"/>
    <cellStyle name="Good 2_Book1" xfId="2018" xr:uid="{00000000-0005-0000-0000-000014080000}"/>
    <cellStyle name="Good 3" xfId="2019" xr:uid="{00000000-0005-0000-0000-000015080000}"/>
    <cellStyle name="Grey" xfId="2020" xr:uid="{00000000-0005-0000-0000-000016080000}"/>
    <cellStyle name="GIA-MOI" xfId="2015" xr:uid="{00000000-0005-0000-0000-000017080000}"/>
    <cellStyle name="GIA-MOI 2" xfId="2877" xr:uid="{00000000-0005-0000-0000-000018080000}"/>
    <cellStyle name="H" xfId="2021" xr:uid="{00000000-0005-0000-0000-000019080000}"/>
    <cellStyle name="H_Book1" xfId="2022" xr:uid="{00000000-0005-0000-0000-00001A080000}"/>
    <cellStyle name="H_D-A-VU" xfId="2023" xr:uid="{00000000-0005-0000-0000-00001B080000}"/>
    <cellStyle name="H_D-A-VU_HC  QNM009(van dc1)" xfId="2024" xr:uid="{00000000-0005-0000-0000-00001C080000}"/>
    <cellStyle name="H_D-A-VU_KH hoach keo quang thang 5" xfId="2025" xr:uid="{00000000-0005-0000-0000-00001D080000}"/>
    <cellStyle name="H_D-A-VU_KH T6" xfId="2026" xr:uid="{00000000-0005-0000-0000-00001E080000}"/>
    <cellStyle name="H_D-A-VU_TPVT" xfId="2027" xr:uid="{00000000-0005-0000-0000-00001F080000}"/>
    <cellStyle name="H_D-A-VU_TPVT_HC  QNM009(van dc1)" xfId="2028" xr:uid="{00000000-0005-0000-0000-000020080000}"/>
    <cellStyle name="H_D-A-VU_TPVT_KH hoach keo quang thang 5" xfId="2029" xr:uid="{00000000-0005-0000-0000-000021080000}"/>
    <cellStyle name="H_D-A-VU_TPVT_KH T6" xfId="2030" xr:uid="{00000000-0005-0000-0000-000022080000}"/>
    <cellStyle name="H_HC  QNM009(van dc1)" xfId="2031" xr:uid="{00000000-0005-0000-0000-000023080000}"/>
    <cellStyle name="H_HSTHAU" xfId="2032" xr:uid="{00000000-0005-0000-0000-000024080000}"/>
    <cellStyle name="H_HSTHAU_HC  QNM009(van dc1)" xfId="2033" xr:uid="{00000000-0005-0000-0000-000025080000}"/>
    <cellStyle name="H_HSTHAU_KH hoach keo quang thang 5" xfId="2034" xr:uid="{00000000-0005-0000-0000-000026080000}"/>
    <cellStyle name="H_HSTHAU_KH T6" xfId="2035" xr:uid="{00000000-0005-0000-0000-000027080000}"/>
    <cellStyle name="H_HSTHAU_TPVT" xfId="2036" xr:uid="{00000000-0005-0000-0000-000028080000}"/>
    <cellStyle name="H_HSTHAU_TPVT_HC  QNM009(van dc1)" xfId="2037" xr:uid="{00000000-0005-0000-0000-000029080000}"/>
    <cellStyle name="H_HSTHAU_TPVT_KH hoach keo quang thang 5" xfId="2038" xr:uid="{00000000-0005-0000-0000-00002A080000}"/>
    <cellStyle name="H_HSTHAU_TPVT_KH T6" xfId="2039" xr:uid="{00000000-0005-0000-0000-00002B080000}"/>
    <cellStyle name="H_KH hoach keo quang thang 5" xfId="2040" xr:uid="{00000000-0005-0000-0000-00002C080000}"/>
    <cellStyle name="H_KH T6" xfId="2041" xr:uid="{00000000-0005-0000-0000-00002D080000}"/>
    <cellStyle name="H_TPVT" xfId="2042" xr:uid="{00000000-0005-0000-0000-00002E080000}"/>
    <cellStyle name="H_TPVT_HC  QNM009(van dc1)" xfId="2043" xr:uid="{00000000-0005-0000-0000-00002F080000}"/>
    <cellStyle name="H_TPVT_KH hoach keo quang thang 5" xfId="2044" xr:uid="{00000000-0005-0000-0000-000030080000}"/>
    <cellStyle name="H_TPVT_KH T6" xfId="2045" xr:uid="{00000000-0005-0000-0000-000031080000}"/>
    <cellStyle name="ha" xfId="2046" xr:uid="{00000000-0005-0000-0000-000032080000}"/>
    <cellStyle name="Head 1" xfId="2047" xr:uid="{00000000-0005-0000-0000-000033080000}"/>
    <cellStyle name="HEADER" xfId="2048" xr:uid="{00000000-0005-0000-0000-000034080000}"/>
    <cellStyle name="Header1" xfId="2049" xr:uid="{00000000-0005-0000-0000-000035080000}"/>
    <cellStyle name="Header2" xfId="2050" xr:uid="{00000000-0005-0000-0000-000036080000}"/>
    <cellStyle name="Heading" xfId="2051" xr:uid="{00000000-0005-0000-0000-000037080000}"/>
    <cellStyle name="Heading 1 2" xfId="2052" xr:uid="{00000000-0005-0000-0000-000038080000}"/>
    <cellStyle name="Heading 1 2 2" xfId="2053" xr:uid="{00000000-0005-0000-0000-000039080000}"/>
    <cellStyle name="Heading 1 2_Book1" xfId="2054" xr:uid="{00000000-0005-0000-0000-00003A080000}"/>
    <cellStyle name="Heading 1 3" xfId="2055" xr:uid="{00000000-0005-0000-0000-00003B080000}"/>
    <cellStyle name="Heading 2 2" xfId="2056" xr:uid="{00000000-0005-0000-0000-00003C080000}"/>
    <cellStyle name="Heading 2 2 2" xfId="2057" xr:uid="{00000000-0005-0000-0000-00003D080000}"/>
    <cellStyle name="Heading 2 2_Book1" xfId="2058" xr:uid="{00000000-0005-0000-0000-00003E080000}"/>
    <cellStyle name="Heading 2 3" xfId="2059" xr:uid="{00000000-0005-0000-0000-00003F080000}"/>
    <cellStyle name="Heading 3 2" xfId="2060" xr:uid="{00000000-0005-0000-0000-000040080000}"/>
    <cellStyle name="Heading 3 2 2" xfId="2061" xr:uid="{00000000-0005-0000-0000-000041080000}"/>
    <cellStyle name="Heading 3 3" xfId="2062" xr:uid="{00000000-0005-0000-0000-000042080000}"/>
    <cellStyle name="Heading 4 2" xfId="2063" xr:uid="{00000000-0005-0000-0000-000043080000}"/>
    <cellStyle name="Heading 4 2 2" xfId="2064" xr:uid="{00000000-0005-0000-0000-000044080000}"/>
    <cellStyle name="Heading 4 3" xfId="2065" xr:uid="{00000000-0005-0000-0000-000045080000}"/>
    <cellStyle name="Heading1" xfId="2066" xr:uid="{00000000-0005-0000-0000-000046080000}"/>
    <cellStyle name="Heading2" xfId="2067" xr:uid="{00000000-0005-0000-0000-000047080000}"/>
    <cellStyle name="HEADINGS" xfId="2068" xr:uid="{00000000-0005-0000-0000-000048080000}"/>
    <cellStyle name="HEADINGSTOP" xfId="2069" xr:uid="{00000000-0005-0000-0000-000049080000}"/>
    <cellStyle name="headoption" xfId="2070" xr:uid="{00000000-0005-0000-0000-00004A080000}"/>
    <cellStyle name="HIDE" xfId="2071" xr:uid="{00000000-0005-0000-0000-00004B080000}"/>
    <cellStyle name="hoa" xfId="2072" xr:uid="{00000000-0005-0000-0000-00004C080000}"/>
    <cellStyle name="Hoa-Scholl" xfId="2073" xr:uid="{00000000-0005-0000-0000-00004D080000}"/>
    <cellStyle name="i·0" xfId="2074" xr:uid="{00000000-0005-0000-0000-00004E080000}"/>
    <cellStyle name="_x0001_í½?" xfId="2075" xr:uid="{00000000-0005-0000-0000-00004F080000}"/>
    <cellStyle name="_x0001_íå_x001b_ô " xfId="2076" xr:uid="{00000000-0005-0000-0000-000050080000}"/>
    <cellStyle name="_x0001_íå_x001b_ô_" xfId="2077" xr:uid="{00000000-0005-0000-0000-000051080000}"/>
    <cellStyle name="Input [yellow]" xfId="2078" xr:uid="{00000000-0005-0000-0000-000052080000}"/>
    <cellStyle name="Input 2" xfId="2079" xr:uid="{00000000-0005-0000-0000-000053080000}"/>
    <cellStyle name="Input 2 2" xfId="2080" xr:uid="{00000000-0005-0000-0000-000054080000}"/>
    <cellStyle name="Input 2_Book1" xfId="2081" xr:uid="{00000000-0005-0000-0000-000055080000}"/>
    <cellStyle name="Input 3" xfId="2082" xr:uid="{00000000-0005-0000-0000-000056080000}"/>
    <cellStyle name="Input Cells" xfId="2083" xr:uid="{00000000-0005-0000-0000-000057080000}"/>
    <cellStyle name="k" xfId="2084" xr:uid="{00000000-0005-0000-0000-000058080000}"/>
    <cellStyle name="k_TONG HOP KINH PHI" xfId="2085" xr:uid="{00000000-0005-0000-0000-000059080000}"/>
    <cellStyle name="k_TONG HOP KINH PHI_Book1" xfId="2086" xr:uid="{00000000-0005-0000-0000-00005A080000}"/>
    <cellStyle name="k_ÿÿÿÿÿ" xfId="2087" xr:uid="{00000000-0005-0000-0000-00005B080000}"/>
    <cellStyle name="k_ÿÿÿÿÿ_1" xfId="2088" xr:uid="{00000000-0005-0000-0000-00005C080000}"/>
    <cellStyle name="k_ÿÿÿÿÿ_2" xfId="2089" xr:uid="{00000000-0005-0000-0000-00005D080000}"/>
    <cellStyle name="k_ÿÿÿÿÿ_2_Book1" xfId="2090" xr:uid="{00000000-0005-0000-0000-00005E080000}"/>
    <cellStyle name="k_ÿÿÿÿÿ_Book1" xfId="2091" xr:uid="{00000000-0005-0000-0000-00005F080000}"/>
    <cellStyle name="ke" xfId="2092" xr:uid="{00000000-0005-0000-0000-000060080000}"/>
    <cellStyle name="KENGANG" xfId="2093" xr:uid="{00000000-0005-0000-0000-000061080000}"/>
    <cellStyle name="Kiểm tra Ô" xfId="2098" xr:uid="{00000000-0005-0000-0000-000062080000}"/>
    <cellStyle name="Kiểu 1" xfId="2099" xr:uid="{00000000-0005-0000-0000-000063080000}"/>
    <cellStyle name="KLBXUNG" xfId="2100" xr:uid="{00000000-0005-0000-0000-000064080000}"/>
    <cellStyle name="KLBXUNG 2" xfId="2878" xr:uid="{00000000-0005-0000-0000-000065080000}"/>
    <cellStyle name="KH ®Ëm" xfId="2094" xr:uid="{00000000-0005-0000-0000-000066080000}"/>
    <cellStyle name="KH mê ngang" xfId="2095" xr:uid="{00000000-0005-0000-0000-000067080000}"/>
    <cellStyle name="khanh" xfId="2096" xr:uid="{00000000-0005-0000-0000-000068080000}"/>
    <cellStyle name="khung" xfId="2097" xr:uid="{00000000-0005-0000-0000-000069080000}"/>
    <cellStyle name="Ledger 17 x 11 in" xfId="2101" xr:uid="{00000000-0005-0000-0000-00006A080000}"/>
    <cellStyle name="Line" xfId="2102" xr:uid="{00000000-0005-0000-0000-00006B080000}"/>
    <cellStyle name="Link Currency (0)" xfId="2103" xr:uid="{00000000-0005-0000-0000-00006C080000}"/>
    <cellStyle name="Link Currency (2)" xfId="2104" xr:uid="{00000000-0005-0000-0000-00006D080000}"/>
    <cellStyle name="Link Units (0)" xfId="2105" xr:uid="{00000000-0005-0000-0000-00006E080000}"/>
    <cellStyle name="Link Units (1)" xfId="2106" xr:uid="{00000000-0005-0000-0000-00006F080000}"/>
    <cellStyle name="Link Units (2)" xfId="2107" xr:uid="{00000000-0005-0000-0000-000070080000}"/>
    <cellStyle name="Link_CAPEX-B" xfId="2108" xr:uid="{00000000-0005-0000-0000-000071080000}"/>
    <cellStyle name="Linked Cell 2" xfId="2109" xr:uid="{00000000-0005-0000-0000-000072080000}"/>
    <cellStyle name="Linked Cell 2 2" xfId="2110" xr:uid="{00000000-0005-0000-0000-000073080000}"/>
    <cellStyle name="Linked Cell 3" xfId="2111" xr:uid="{00000000-0005-0000-0000-000074080000}"/>
    <cellStyle name="Linked Cells" xfId="2112" xr:uid="{00000000-0005-0000-0000-000075080000}"/>
    <cellStyle name="luc" xfId="2113" xr:uid="{00000000-0005-0000-0000-000076080000}"/>
    <cellStyle name="luc2" xfId="2114" xr:uid="{00000000-0005-0000-0000-000077080000}"/>
    <cellStyle name="MARK" xfId="2115" xr:uid="{00000000-0005-0000-0000-000078080000}"/>
    <cellStyle name="MAU" xfId="2116" xr:uid="{00000000-0005-0000-0000-000079080000}"/>
    <cellStyle name="MI07" xfId="2117" xr:uid="{00000000-0005-0000-0000-00007A080000}"/>
    <cellStyle name="Migliaia (0)_CALPREZZ" xfId="2118" xr:uid="{00000000-0005-0000-0000-00007B080000}"/>
    <cellStyle name="Migliaia_ PESO ELETTR." xfId="2119" xr:uid="{00000000-0005-0000-0000-00007C080000}"/>
    <cellStyle name="Millares [0]_Well Timing" xfId="2120" xr:uid="{00000000-0005-0000-0000-00007D080000}"/>
    <cellStyle name="Millares_Well Timing" xfId="2121" xr:uid="{00000000-0005-0000-0000-00007E080000}"/>
    <cellStyle name="Milliers [0]_      " xfId="2122" xr:uid="{00000000-0005-0000-0000-00007F080000}"/>
    <cellStyle name="Milliers_      " xfId="2123" xr:uid="{00000000-0005-0000-0000-000080080000}"/>
    <cellStyle name="Model" xfId="2125" xr:uid="{00000000-0005-0000-0000-000081080000}"/>
    <cellStyle name="moi" xfId="2126" xr:uid="{00000000-0005-0000-0000-000082080000}"/>
    <cellStyle name="Mon?aire [0]_      " xfId="2127" xr:uid="{00000000-0005-0000-0000-000083080000}"/>
    <cellStyle name="Mon?aire_      " xfId="2128" xr:uid="{00000000-0005-0000-0000-000084080000}"/>
    <cellStyle name="Moneda [0]_Well Timing" xfId="2129" xr:uid="{00000000-0005-0000-0000-000085080000}"/>
    <cellStyle name="Moneda_Well Timing" xfId="2130" xr:uid="{00000000-0005-0000-0000-000086080000}"/>
    <cellStyle name="Monetaire" xfId="2131" xr:uid="{00000000-0005-0000-0000-000087080000}"/>
    <cellStyle name="Monétaire [0]_      " xfId="2132" xr:uid="{00000000-0005-0000-0000-000088080000}"/>
    <cellStyle name="Monétaire_      " xfId="2133" xr:uid="{00000000-0005-0000-0000-000089080000}"/>
    <cellStyle name="Monetaire_MK-TK" xfId="2134" xr:uid="{00000000-0005-0000-0000-00008A080000}"/>
    <cellStyle name="Mon彋aire [0]_AR1194" xfId="2135" xr:uid="{00000000-0005-0000-0000-00008B080000}"/>
    <cellStyle name="Mon彋aire_AR1194" xfId="2136" xr:uid="{00000000-0005-0000-0000-00008C080000}"/>
    <cellStyle name="Mon騁aire [0]_AR1194" xfId="2137" xr:uid="{00000000-0005-0000-0000-00008D080000}"/>
    <cellStyle name="Mon騁aire_AR1194" xfId="2138" xr:uid="{00000000-0005-0000-0000-00008E080000}"/>
    <cellStyle name="Môc" xfId="2124" xr:uid="{00000000-0005-0000-0000-00008F080000}"/>
    <cellStyle name="n" xfId="2139" xr:uid="{00000000-0005-0000-0000-000090080000}"/>
    <cellStyle name="n_Project3-nha xe-ok KL " xfId="2140" xr:uid="{00000000-0005-0000-0000-000091080000}"/>
    <cellStyle name="n1" xfId="2141" xr:uid="{00000000-0005-0000-0000-000092080000}"/>
    <cellStyle name="Neutral 2" xfId="2142" xr:uid="{00000000-0005-0000-0000-000093080000}"/>
    <cellStyle name="Neutral 2 2" xfId="2143" xr:uid="{00000000-0005-0000-0000-000094080000}"/>
    <cellStyle name="Neutral 2_Book1" xfId="2144" xr:uid="{00000000-0005-0000-0000-000095080000}"/>
    <cellStyle name="Neutral 3" xfId="2145" xr:uid="{00000000-0005-0000-0000-000096080000}"/>
    <cellStyle name="New" xfId="2146" xr:uid="{00000000-0005-0000-0000-000097080000}"/>
    <cellStyle name="New Times Roman" xfId="2147" xr:uid="{00000000-0005-0000-0000-000098080000}"/>
    <cellStyle name="New_Book1" xfId="2148" xr:uid="{00000000-0005-0000-0000-000099080000}"/>
    <cellStyle name="no dec" xfId="2155" xr:uid="{00000000-0005-0000-0000-00009A080000}"/>
    <cellStyle name="Non" xfId="2156" xr:uid="{00000000-0005-0000-0000-00009B080000}"/>
    <cellStyle name="ÑONVÒ" xfId="2157" xr:uid="{00000000-0005-0000-0000-00009C080000}"/>
    <cellStyle name="Normal" xfId="0" builtinId="0"/>
    <cellStyle name="Normal - ??1" xfId="2158" xr:uid="{00000000-0005-0000-0000-00009E080000}"/>
    <cellStyle name="Normal - Style1" xfId="2159" xr:uid="{00000000-0005-0000-0000-00009F080000}"/>
    <cellStyle name="Normal - 유형1" xfId="2160" xr:uid="{00000000-0005-0000-0000-0000A0080000}"/>
    <cellStyle name="Normal 10" xfId="2161" xr:uid="{00000000-0005-0000-0000-0000A1080000}"/>
    <cellStyle name="Normal 10 2" xfId="2162" xr:uid="{00000000-0005-0000-0000-0000A2080000}"/>
    <cellStyle name="Normal 10 6" xfId="2163" xr:uid="{00000000-0005-0000-0000-0000A3080000}"/>
    <cellStyle name="Normal 10_Theo doi Dung Quat - Sa Huynh-08-9-16" xfId="2164" xr:uid="{00000000-0005-0000-0000-0000A4080000}"/>
    <cellStyle name="Normal 11" xfId="2165" xr:uid="{00000000-0005-0000-0000-0000A5080000}"/>
    <cellStyle name="Normal 11 2" xfId="2166" xr:uid="{00000000-0005-0000-0000-0000A6080000}"/>
    <cellStyle name="Normal 11 3" xfId="2167" xr:uid="{00000000-0005-0000-0000-0000A7080000}"/>
    <cellStyle name="Normal 12" xfId="2168" xr:uid="{00000000-0005-0000-0000-0000A8080000}"/>
    <cellStyle name="Normal 12 10" xfId="2169" xr:uid="{00000000-0005-0000-0000-0000A9080000}"/>
    <cellStyle name="Normal 12 11" xfId="2170" xr:uid="{00000000-0005-0000-0000-0000AA080000}"/>
    <cellStyle name="Normal 12 12" xfId="2171" xr:uid="{00000000-0005-0000-0000-0000AB080000}"/>
    <cellStyle name="Normal 12 13" xfId="2172" xr:uid="{00000000-0005-0000-0000-0000AC080000}"/>
    <cellStyle name="Normal 12 14" xfId="2173" xr:uid="{00000000-0005-0000-0000-0000AD080000}"/>
    <cellStyle name="Normal 12 15" xfId="2174" xr:uid="{00000000-0005-0000-0000-0000AE080000}"/>
    <cellStyle name="Normal 12 16" xfId="2175" xr:uid="{00000000-0005-0000-0000-0000AF080000}"/>
    <cellStyle name="Normal 12 17" xfId="2176" xr:uid="{00000000-0005-0000-0000-0000B0080000}"/>
    <cellStyle name="Normal 12 2" xfId="2177" xr:uid="{00000000-0005-0000-0000-0000B1080000}"/>
    <cellStyle name="Normal 12 3" xfId="2178" xr:uid="{00000000-0005-0000-0000-0000B2080000}"/>
    <cellStyle name="Normal 12 4" xfId="2179" xr:uid="{00000000-0005-0000-0000-0000B3080000}"/>
    <cellStyle name="Normal 12 5" xfId="2180" xr:uid="{00000000-0005-0000-0000-0000B4080000}"/>
    <cellStyle name="Normal 12 6" xfId="2181" xr:uid="{00000000-0005-0000-0000-0000B5080000}"/>
    <cellStyle name="Normal 12 7" xfId="2182" xr:uid="{00000000-0005-0000-0000-0000B6080000}"/>
    <cellStyle name="Normal 12 8" xfId="2183" xr:uid="{00000000-0005-0000-0000-0000B7080000}"/>
    <cellStyle name="Normal 12 9" xfId="2184" xr:uid="{00000000-0005-0000-0000-0000B8080000}"/>
    <cellStyle name="Normal 13" xfId="2185" xr:uid="{00000000-0005-0000-0000-0000B9080000}"/>
    <cellStyle name="Normal 14" xfId="2186" xr:uid="{00000000-0005-0000-0000-0000BA080000}"/>
    <cellStyle name="Normal 15" xfId="2187" xr:uid="{00000000-0005-0000-0000-0000BB080000}"/>
    <cellStyle name="Normal 16" xfId="2188" xr:uid="{00000000-0005-0000-0000-0000BC080000}"/>
    <cellStyle name="Normal 17" xfId="2189" xr:uid="{00000000-0005-0000-0000-0000BD080000}"/>
    <cellStyle name="Normal 18" xfId="2190" xr:uid="{00000000-0005-0000-0000-0000BE080000}"/>
    <cellStyle name="Normal 19" xfId="2191" xr:uid="{00000000-0005-0000-0000-0000BF080000}"/>
    <cellStyle name="Normal 2" xfId="2192" xr:uid="{00000000-0005-0000-0000-0000C0080000}"/>
    <cellStyle name="Normal 2 10" xfId="2193" xr:uid="{00000000-0005-0000-0000-0000C1080000}"/>
    <cellStyle name="Normal 2 11" xfId="2194" xr:uid="{00000000-0005-0000-0000-0000C2080000}"/>
    <cellStyle name="Normal 2 12" xfId="2195" xr:uid="{00000000-0005-0000-0000-0000C3080000}"/>
    <cellStyle name="Normal 2 13" xfId="2196" xr:uid="{00000000-0005-0000-0000-0000C4080000}"/>
    <cellStyle name="Normal 2 14" xfId="2197" xr:uid="{00000000-0005-0000-0000-0000C5080000}"/>
    <cellStyle name="Normal 2 15" xfId="2198" xr:uid="{00000000-0005-0000-0000-0000C6080000}"/>
    <cellStyle name="Normal 2 16" xfId="2199" xr:uid="{00000000-0005-0000-0000-0000C7080000}"/>
    <cellStyle name="Normal 2 17" xfId="2200" xr:uid="{00000000-0005-0000-0000-0000C8080000}"/>
    <cellStyle name="Normal 2 18" xfId="2201" xr:uid="{00000000-0005-0000-0000-0000C9080000}"/>
    <cellStyle name="Normal 2 19" xfId="2910" xr:uid="{00000000-0005-0000-0000-0000CA080000}"/>
    <cellStyle name="Normal 2 2" xfId="2202" xr:uid="{00000000-0005-0000-0000-0000CB080000}"/>
    <cellStyle name="Normal 2 2 2" xfId="2203" xr:uid="{00000000-0005-0000-0000-0000CC080000}"/>
    <cellStyle name="Normal 2 2 4" xfId="2204" xr:uid="{00000000-0005-0000-0000-0000CD080000}"/>
    <cellStyle name="Normal 2 2_BTS T6 Chung" xfId="2205" xr:uid="{00000000-0005-0000-0000-0000CE080000}"/>
    <cellStyle name="Normal 2 3" xfId="2206" xr:uid="{00000000-0005-0000-0000-0000CF080000}"/>
    <cellStyle name="Normal 2 3 2" xfId="2207" xr:uid="{00000000-0005-0000-0000-0000D0080000}"/>
    <cellStyle name="Normal 2 3_9-7" xfId="2208" xr:uid="{00000000-0005-0000-0000-0000D1080000}"/>
    <cellStyle name="Normal 2 4" xfId="2209" xr:uid="{00000000-0005-0000-0000-0000D2080000}"/>
    <cellStyle name="Normal 2 4 2" xfId="2210" xr:uid="{00000000-0005-0000-0000-0000D3080000}"/>
    <cellStyle name="Normal 2 4_9-7" xfId="2211" xr:uid="{00000000-0005-0000-0000-0000D4080000}"/>
    <cellStyle name="Normal 2 47" xfId="2212" xr:uid="{00000000-0005-0000-0000-0000D5080000}"/>
    <cellStyle name="Normal 2 5" xfId="2213" xr:uid="{00000000-0005-0000-0000-0000D6080000}"/>
    <cellStyle name="Normal 2 5 2" xfId="2214" xr:uid="{00000000-0005-0000-0000-0000D7080000}"/>
    <cellStyle name="Normal 2 5_9-7" xfId="2215" xr:uid="{00000000-0005-0000-0000-0000D8080000}"/>
    <cellStyle name="Normal 2 6" xfId="2216" xr:uid="{00000000-0005-0000-0000-0000D9080000}"/>
    <cellStyle name="Normal 2 7" xfId="2217" xr:uid="{00000000-0005-0000-0000-0000DA080000}"/>
    <cellStyle name="Normal 2 8" xfId="2218" xr:uid="{00000000-0005-0000-0000-0000DB080000}"/>
    <cellStyle name="Normal 2 9" xfId="2219" xr:uid="{00000000-0005-0000-0000-0000DC080000}"/>
    <cellStyle name="Normal 2_Book1" xfId="2220" xr:uid="{00000000-0005-0000-0000-0000DD080000}"/>
    <cellStyle name="Normal 2_Book1 2" xfId="2824" xr:uid="{00000000-0005-0000-0000-0000DE080000}"/>
    <cellStyle name="Normal 20" xfId="2221" xr:uid="{00000000-0005-0000-0000-0000DF080000}"/>
    <cellStyle name="Normal 21" xfId="2825" xr:uid="{00000000-0005-0000-0000-0000E0080000}"/>
    <cellStyle name="Normal 21 2" xfId="2907" xr:uid="{00000000-0005-0000-0000-0000E1080000}"/>
    <cellStyle name="Normal 22" xfId="2908" xr:uid="{00000000-0005-0000-0000-0000E2080000}"/>
    <cellStyle name="Normal 3" xfId="2222" xr:uid="{00000000-0005-0000-0000-0000E3080000}"/>
    <cellStyle name="Normal 3 10" xfId="2223" xr:uid="{00000000-0005-0000-0000-0000E4080000}"/>
    <cellStyle name="Normal 3 11" xfId="2224" xr:uid="{00000000-0005-0000-0000-0000E5080000}"/>
    <cellStyle name="Normal 3 12" xfId="2225" xr:uid="{00000000-0005-0000-0000-0000E6080000}"/>
    <cellStyle name="Normal 3 13" xfId="2226" xr:uid="{00000000-0005-0000-0000-0000E7080000}"/>
    <cellStyle name="Normal 3 14" xfId="2227" xr:uid="{00000000-0005-0000-0000-0000E8080000}"/>
    <cellStyle name="Normal 3 15" xfId="2228" xr:uid="{00000000-0005-0000-0000-0000E9080000}"/>
    <cellStyle name="Normal 3 16" xfId="2229" xr:uid="{00000000-0005-0000-0000-0000EA080000}"/>
    <cellStyle name="Normal 3 17" xfId="2230" xr:uid="{00000000-0005-0000-0000-0000EB080000}"/>
    <cellStyle name="Normal 3 18" xfId="2231" xr:uid="{00000000-0005-0000-0000-0000EC080000}"/>
    <cellStyle name="Normal 3 2" xfId="2232" xr:uid="{00000000-0005-0000-0000-0000ED080000}"/>
    <cellStyle name="Normal 3 2 2" xfId="2233" xr:uid="{00000000-0005-0000-0000-0000EE080000}"/>
    <cellStyle name="Normal 3 3" xfId="2234" xr:uid="{00000000-0005-0000-0000-0000EF080000}"/>
    <cellStyle name="Normal 3 4" xfId="2235" xr:uid="{00000000-0005-0000-0000-0000F0080000}"/>
    <cellStyle name="Normal 3 5" xfId="2236" xr:uid="{00000000-0005-0000-0000-0000F1080000}"/>
    <cellStyle name="Normal 3 6" xfId="2237" xr:uid="{00000000-0005-0000-0000-0000F2080000}"/>
    <cellStyle name="Normal 3 7" xfId="2238" xr:uid="{00000000-0005-0000-0000-0000F3080000}"/>
    <cellStyle name="Normal 3 8" xfId="2239" xr:uid="{00000000-0005-0000-0000-0000F4080000}"/>
    <cellStyle name="Normal 3 9" xfId="2240" xr:uid="{00000000-0005-0000-0000-0000F5080000}"/>
    <cellStyle name="Normal 3_Bao cao PTM ngay 7-16" xfId="2241" xr:uid="{00000000-0005-0000-0000-0000F6080000}"/>
    <cellStyle name="Normal 4" xfId="2242" xr:uid="{00000000-0005-0000-0000-0000F7080000}"/>
    <cellStyle name="Normal 4 10" xfId="2243" xr:uid="{00000000-0005-0000-0000-0000F8080000}"/>
    <cellStyle name="Normal 4 11" xfId="2244" xr:uid="{00000000-0005-0000-0000-0000F9080000}"/>
    <cellStyle name="Normal 4 12" xfId="2245" xr:uid="{00000000-0005-0000-0000-0000FA080000}"/>
    <cellStyle name="Normal 4 13" xfId="2246" xr:uid="{00000000-0005-0000-0000-0000FB080000}"/>
    <cellStyle name="Normal 4 14" xfId="2247" xr:uid="{00000000-0005-0000-0000-0000FC080000}"/>
    <cellStyle name="Normal 4 15" xfId="2248" xr:uid="{00000000-0005-0000-0000-0000FD080000}"/>
    <cellStyle name="Normal 4 16" xfId="2249" xr:uid="{00000000-0005-0000-0000-0000FE080000}"/>
    <cellStyle name="Normal 4 17" xfId="2250" xr:uid="{00000000-0005-0000-0000-0000FF080000}"/>
    <cellStyle name="Normal 4 2" xfId="2251" xr:uid="{00000000-0005-0000-0000-000000090000}"/>
    <cellStyle name="Normal 4 2 4" xfId="2252" xr:uid="{00000000-0005-0000-0000-000001090000}"/>
    <cellStyle name="Normal 4 3" xfId="2253" xr:uid="{00000000-0005-0000-0000-000002090000}"/>
    <cellStyle name="Normal 4 4" xfId="2254" xr:uid="{00000000-0005-0000-0000-000003090000}"/>
    <cellStyle name="Normal 4 5" xfId="2255" xr:uid="{00000000-0005-0000-0000-000004090000}"/>
    <cellStyle name="Normal 4 6" xfId="2256" xr:uid="{00000000-0005-0000-0000-000005090000}"/>
    <cellStyle name="Normal 4 7" xfId="2257" xr:uid="{00000000-0005-0000-0000-000006090000}"/>
    <cellStyle name="Normal 4 8" xfId="2258" xr:uid="{00000000-0005-0000-0000-000007090000}"/>
    <cellStyle name="Normal 4 9" xfId="2259" xr:uid="{00000000-0005-0000-0000-000008090000}"/>
    <cellStyle name="Normal 4_BTS T6 Chung" xfId="2260" xr:uid="{00000000-0005-0000-0000-000009090000}"/>
    <cellStyle name="Normal 5" xfId="2261" xr:uid="{00000000-0005-0000-0000-00000A090000}"/>
    <cellStyle name="Normal 5 2" xfId="2262" xr:uid="{00000000-0005-0000-0000-00000B090000}"/>
    <cellStyle name="Normal 5 4" xfId="2263" xr:uid="{00000000-0005-0000-0000-00000C090000}"/>
    <cellStyle name="Normal 5_BẢNG TỔNG HỢP" xfId="2264" xr:uid="{00000000-0005-0000-0000-00000D090000}"/>
    <cellStyle name="Normal 6" xfId="2265" xr:uid="{00000000-0005-0000-0000-00000E090000}"/>
    <cellStyle name="Normal 6 3" xfId="2266" xr:uid="{00000000-0005-0000-0000-00000F090000}"/>
    <cellStyle name="Normal 6_BẢNG TỔNG HỢP" xfId="2267" xr:uid="{00000000-0005-0000-0000-000010090000}"/>
    <cellStyle name="Normal 7" xfId="2268" xr:uid="{00000000-0005-0000-0000-000011090000}"/>
    <cellStyle name="Normal 7 2" xfId="2269" xr:uid="{00000000-0005-0000-0000-000012090000}"/>
    <cellStyle name="Normal 7_Du kien giai ngan cac du an den 30-6-16-OK" xfId="2270" xr:uid="{00000000-0005-0000-0000-000013090000}"/>
    <cellStyle name="Normal 8" xfId="2271" xr:uid="{00000000-0005-0000-0000-000014090000}"/>
    <cellStyle name="Normal 8 4" xfId="2272" xr:uid="{00000000-0005-0000-0000-000015090000}"/>
    <cellStyle name="Normal 9" xfId="2273" xr:uid="{00000000-0005-0000-0000-000016090000}"/>
    <cellStyle name="Normal_doc so trong excel-vinh lap" xfId="2823" xr:uid="{00000000-0005-0000-0000-000018090000}"/>
    <cellStyle name="Normal1" xfId="2274" xr:uid="{00000000-0005-0000-0000-00001A090000}"/>
    <cellStyle name="NORMAL-ADB" xfId="2275" xr:uid="{00000000-0005-0000-0000-00001B090000}"/>
    <cellStyle name="Normale_ PESO ELETTR." xfId="2276" xr:uid="{00000000-0005-0000-0000-00001C090000}"/>
    <cellStyle name="Normalny_Cennik obowiazuje od 06-08-2001 r (1)" xfId="2277" xr:uid="{00000000-0005-0000-0000-00001D090000}"/>
    <cellStyle name="NormaŬ_Book2" xfId="2278" xr:uid="{00000000-0005-0000-0000-00001E090000}"/>
    <cellStyle name="Note 2" xfId="2279" xr:uid="{00000000-0005-0000-0000-00001F090000}"/>
    <cellStyle name="Note 2 2" xfId="2280" xr:uid="{00000000-0005-0000-0000-000020090000}"/>
    <cellStyle name="Note 2_Book1" xfId="2281" xr:uid="{00000000-0005-0000-0000-000021090000}"/>
    <cellStyle name="Note 3" xfId="2282" xr:uid="{00000000-0005-0000-0000-000022090000}"/>
    <cellStyle name="Nhấn1" xfId="2149" xr:uid="{00000000-0005-0000-0000-000023090000}"/>
    <cellStyle name="Nhấn2" xfId="2150" xr:uid="{00000000-0005-0000-0000-000024090000}"/>
    <cellStyle name="Nhấn3" xfId="2151" xr:uid="{00000000-0005-0000-0000-000025090000}"/>
    <cellStyle name="Nhấn4" xfId="2152" xr:uid="{00000000-0005-0000-0000-000026090000}"/>
    <cellStyle name="Nhấn5" xfId="2153" xr:uid="{00000000-0005-0000-0000-000027090000}"/>
    <cellStyle name="Nhấn6" xfId="2154" xr:uid="{00000000-0005-0000-0000-000028090000}"/>
    <cellStyle name="Ò_x000d_Normal_123569" xfId="2284" xr:uid="{00000000-0005-0000-0000-000029090000}"/>
    <cellStyle name="Œ…‹æØ‚è [0.00]_††††† " xfId="2285" xr:uid="{00000000-0005-0000-0000-00002A090000}"/>
    <cellStyle name="Œ…‹æØ‚è_††††† " xfId="2286" xr:uid="{00000000-0005-0000-0000-00002B090000}"/>
    <cellStyle name="oft Excel]_x000d__x000a_Comment=open=/f ‚ðw’è‚·‚é‚ÆAƒ†[ƒU[’è‹`ŠÖ”‚ðŠÖ”“\‚è•t‚¯‚Ìˆê——‚É“o˜^‚·‚é‚±‚Æ‚ª‚Å‚«‚Ü‚·B_x000d__x000a_Maximized" xfId="2287" xr:uid="{00000000-0005-0000-0000-00002C090000}"/>
    <cellStyle name="oft Excel]_x000d__x000a_Comment=open=/f ‚ðŽw’è‚·‚é‚ÆAƒ†[ƒU[’è‹`ŠÖ”‚ðŠÖ”“\‚è•t‚¯‚Ìˆê——‚É“o˜^‚·‚é‚±‚Æ‚ª‚Å‚«‚Ü‚·B_x000d__x000a_Maximized" xfId="2288" xr:uid="{00000000-0005-0000-0000-00002D090000}"/>
    <cellStyle name="oft Excel]_x000d__x000a_Comment=The open=/f lines load custom functions into the Paste Function list._x000d__x000a_Maximized=2_x000d__x000a_Basics=1_x000d__x000a_A" xfId="2289" xr:uid="{00000000-0005-0000-0000-00002E090000}"/>
    <cellStyle name="oft Excel]_x000d__x000a_Comment=The open=/f lines load custom functions into the Paste Function list._x000d__x000a_Maximized=3_x000d__x000a_Basics=1_x000d__x000a_A" xfId="2290" xr:uid="{00000000-0005-0000-0000-00002F090000}"/>
    <cellStyle name="omma [0]_Mktg Prog" xfId="2291" xr:uid="{00000000-0005-0000-0000-000030090000}"/>
    <cellStyle name="Oormal" xfId="2292" xr:uid="{00000000-0005-0000-0000-000031090000}"/>
    <cellStyle name="ormal_Sheet1_1" xfId="2293" xr:uid="{00000000-0005-0000-0000-000032090000}"/>
    <cellStyle name="Output 2" xfId="2294" xr:uid="{00000000-0005-0000-0000-000033090000}"/>
    <cellStyle name="Output 2 2" xfId="2295" xr:uid="{00000000-0005-0000-0000-000034090000}"/>
    <cellStyle name="Output 2_Book1" xfId="2296" xr:uid="{00000000-0005-0000-0000-000035090000}"/>
    <cellStyle name="Output 3" xfId="2297" xr:uid="{00000000-0005-0000-0000-000036090000}"/>
    <cellStyle name="Ô Được nối kết" xfId="2283" xr:uid="{00000000-0005-0000-0000-000037090000}"/>
    <cellStyle name="P1D" xfId="2298" xr:uid="{00000000-0005-0000-0000-000038090000}"/>
    <cellStyle name="paint" xfId="2299" xr:uid="{00000000-0005-0000-0000-000039090000}"/>
    <cellStyle name="Pattern" xfId="2300" xr:uid="{00000000-0005-0000-0000-00003A090000}"/>
    <cellStyle name="per.style" xfId="2301" xr:uid="{00000000-0005-0000-0000-00003B090000}"/>
    <cellStyle name="Percent [0]" xfId="2302" xr:uid="{00000000-0005-0000-0000-00003C090000}"/>
    <cellStyle name="Percent [00]" xfId="2303" xr:uid="{00000000-0005-0000-0000-00003D090000}"/>
    <cellStyle name="Percent [2]" xfId="2304" xr:uid="{00000000-0005-0000-0000-00003E090000}"/>
    <cellStyle name="Percent 2" xfId="2305" xr:uid="{00000000-0005-0000-0000-00003F090000}"/>
    <cellStyle name="PERCENTAGE" xfId="2306" xr:uid="{00000000-0005-0000-0000-000040090000}"/>
    <cellStyle name="Pourcentage" xfId="2308" xr:uid="{00000000-0005-0000-0000-000041090000}"/>
    <cellStyle name="PrePop Currency (0)" xfId="2309" xr:uid="{00000000-0005-0000-0000-000042090000}"/>
    <cellStyle name="PrePop Currency (2)" xfId="2310" xr:uid="{00000000-0005-0000-0000-000043090000}"/>
    <cellStyle name="PrePop Units (0)" xfId="2311" xr:uid="{00000000-0005-0000-0000-000044090000}"/>
    <cellStyle name="PrePop Units (1)" xfId="2312" xr:uid="{00000000-0005-0000-0000-000045090000}"/>
    <cellStyle name="PrePop Units (2)" xfId="2313" xr:uid="{00000000-0005-0000-0000-000046090000}"/>
    <cellStyle name="pricing" xfId="2314" xr:uid="{00000000-0005-0000-0000-000047090000}"/>
    <cellStyle name="PSChar" xfId="2315" xr:uid="{00000000-0005-0000-0000-000048090000}"/>
    <cellStyle name="PSHeading" xfId="2316" xr:uid="{00000000-0005-0000-0000-000049090000}"/>
    <cellStyle name="PHONG" xfId="2307" xr:uid="{00000000-0005-0000-0000-00004A090000}"/>
    <cellStyle name="Quantity" xfId="2317" xr:uid="{00000000-0005-0000-0000-00004B090000}"/>
    <cellStyle name="regstoresfromspecstores" xfId="2318" xr:uid="{00000000-0005-0000-0000-00004C090000}"/>
    <cellStyle name="Regular" xfId="2319" xr:uid="{00000000-0005-0000-0000-00004D090000}"/>
    <cellStyle name="RevList" xfId="2320" xr:uid="{00000000-0005-0000-0000-00004E090000}"/>
    <cellStyle name="ri" xfId="2321" xr:uid="{00000000-0005-0000-0000-00004F090000}"/>
    <cellStyle name="rlink_tiªn l­în_x001b_Hyperlink_TONG HOP KINH PHI" xfId="2322" xr:uid="{00000000-0005-0000-0000-000050090000}"/>
    <cellStyle name="rmal_ADAdot" xfId="2323" xr:uid="{00000000-0005-0000-0000-000051090000}"/>
    <cellStyle name="RowLevel_0" xfId="2324" xr:uid="{00000000-0005-0000-0000-000052090000}"/>
    <cellStyle name="S—_x0008_" xfId="2325" xr:uid="{00000000-0005-0000-0000-000053090000}"/>
    <cellStyle name="s]_x000d__x000a_spooler=yes_x000d__x000a_load=_x000d__x000a_Beep=yes_x000d__x000a_NullPort=None_x000d__x000a_BorderWidth=3_x000d__x000a_CursorBlinkRate=1200_x000d__x000a_DoubleClickSpeed=452_x000d__x000a_Programs=co" xfId="2326" xr:uid="{00000000-0005-0000-0000-000054090000}"/>
    <cellStyle name="S—_x0008__Du kien giai ngan cac du an den 30-6-16-OK" xfId="2327" xr:uid="{00000000-0005-0000-0000-000055090000}"/>
    <cellStyle name="S1D" xfId="2328" xr:uid="{00000000-0005-0000-0000-000056090000}"/>
    <cellStyle name="SAPBEXaggData" xfId="2329" xr:uid="{00000000-0005-0000-0000-000057090000}"/>
    <cellStyle name="SAPBEXaggDataEmph" xfId="2330" xr:uid="{00000000-0005-0000-0000-000058090000}"/>
    <cellStyle name="SAPBEXaggItem" xfId="2331" xr:uid="{00000000-0005-0000-0000-000059090000}"/>
    <cellStyle name="SAPBEXchaText" xfId="2332" xr:uid="{00000000-0005-0000-0000-00005A090000}"/>
    <cellStyle name="SAPBEXexcBad7" xfId="2333" xr:uid="{00000000-0005-0000-0000-00005B090000}"/>
    <cellStyle name="SAPBEXexcBad8" xfId="2334" xr:uid="{00000000-0005-0000-0000-00005C090000}"/>
    <cellStyle name="SAPBEXexcBad9" xfId="2335" xr:uid="{00000000-0005-0000-0000-00005D090000}"/>
    <cellStyle name="SAPBEXexcCritical4" xfId="2336" xr:uid="{00000000-0005-0000-0000-00005E090000}"/>
    <cellStyle name="SAPBEXexcCritical5" xfId="2337" xr:uid="{00000000-0005-0000-0000-00005F090000}"/>
    <cellStyle name="SAPBEXexcCritical6" xfId="2338" xr:uid="{00000000-0005-0000-0000-000060090000}"/>
    <cellStyle name="SAPBEXexcGood1" xfId="2339" xr:uid="{00000000-0005-0000-0000-000061090000}"/>
    <cellStyle name="SAPBEXexcGood2" xfId="2340" xr:uid="{00000000-0005-0000-0000-000062090000}"/>
    <cellStyle name="SAPBEXexcGood3" xfId="2341" xr:uid="{00000000-0005-0000-0000-000063090000}"/>
    <cellStyle name="SAPBEXfilterDrill" xfId="2342" xr:uid="{00000000-0005-0000-0000-000064090000}"/>
    <cellStyle name="SAPBEXfilterItem" xfId="2343" xr:uid="{00000000-0005-0000-0000-000065090000}"/>
    <cellStyle name="SAPBEXfilterText" xfId="2344" xr:uid="{00000000-0005-0000-0000-000066090000}"/>
    <cellStyle name="SAPBEXformats" xfId="2345" xr:uid="{00000000-0005-0000-0000-000067090000}"/>
    <cellStyle name="SAPBEXheaderItem" xfId="2346" xr:uid="{00000000-0005-0000-0000-000068090000}"/>
    <cellStyle name="SAPBEXheaderText" xfId="2347" xr:uid="{00000000-0005-0000-0000-000069090000}"/>
    <cellStyle name="SAPBEXresData" xfId="2348" xr:uid="{00000000-0005-0000-0000-00006A090000}"/>
    <cellStyle name="SAPBEXresDataEmph" xfId="2349" xr:uid="{00000000-0005-0000-0000-00006B090000}"/>
    <cellStyle name="SAPBEXresItem" xfId="2350" xr:uid="{00000000-0005-0000-0000-00006C090000}"/>
    <cellStyle name="SAPBEXstdData" xfId="2351" xr:uid="{00000000-0005-0000-0000-00006D090000}"/>
    <cellStyle name="SAPBEXstdDataEmph" xfId="2352" xr:uid="{00000000-0005-0000-0000-00006E090000}"/>
    <cellStyle name="SAPBEXstdItem" xfId="2353" xr:uid="{00000000-0005-0000-0000-00006F090000}"/>
    <cellStyle name="SAPBEXtitle" xfId="2354" xr:uid="{00000000-0005-0000-0000-000070090000}"/>
    <cellStyle name="SAPBEXundefined" xfId="2355" xr:uid="{00000000-0005-0000-0000-000071090000}"/>
    <cellStyle name="_x0001_sç?" xfId="2356" xr:uid="{00000000-0005-0000-0000-000072090000}"/>
    <cellStyle name="serJet 1200 Series PCL 6" xfId="2357" xr:uid="{00000000-0005-0000-0000-000073090000}"/>
    <cellStyle name="SHADEDSTORES" xfId="2358" xr:uid="{00000000-0005-0000-0000-000074090000}"/>
    <cellStyle name="Sheet Title" xfId="2359" xr:uid="{00000000-0005-0000-0000-000075090000}"/>
    <cellStyle name="Siêu nối kết_Book1" xfId="2360" xr:uid="{00000000-0005-0000-0000-000076090000}"/>
    <cellStyle name="so" xfId="2361" xr:uid="{00000000-0005-0000-0000-000077090000}"/>
    <cellStyle name="SO%" xfId="2362" xr:uid="{00000000-0005-0000-0000-000078090000}"/>
    <cellStyle name="so_Book1" xfId="2363" xr:uid="{00000000-0005-0000-0000-000079090000}"/>
    <cellStyle name="songuyen" xfId="2364" xr:uid="{00000000-0005-0000-0000-00007A090000}"/>
    <cellStyle name="specstores" xfId="2365" xr:uid="{00000000-0005-0000-0000-00007B090000}"/>
    <cellStyle name="ST_06" xfId="2366" xr:uid="{00000000-0005-0000-0000-00007C090000}"/>
    <cellStyle name="Standard_4710.0000" xfId="2367" xr:uid="{00000000-0005-0000-0000-00007D090000}"/>
    <cellStyle name="STEP1" xfId="2368" xr:uid="{00000000-0005-0000-0000-00007E090000}"/>
    <cellStyle name="STEP2" xfId="2369" xr:uid="{00000000-0005-0000-0000-00007F090000}"/>
    <cellStyle name="STT" xfId="2370" xr:uid="{00000000-0005-0000-0000-000080090000}"/>
    <cellStyle name="STTDG" xfId="2371" xr:uid="{00000000-0005-0000-0000-000081090000}"/>
    <cellStyle name="Style 1" xfId="2372" xr:uid="{00000000-0005-0000-0000-000082090000}"/>
    <cellStyle name="Style 10" xfId="2373" xr:uid="{00000000-0005-0000-0000-000083090000}"/>
    <cellStyle name="Style 11" xfId="2374" xr:uid="{00000000-0005-0000-0000-000084090000}"/>
    <cellStyle name="Style 12" xfId="2375" xr:uid="{00000000-0005-0000-0000-000085090000}"/>
    <cellStyle name="Style 13" xfId="2376" xr:uid="{00000000-0005-0000-0000-000086090000}"/>
    <cellStyle name="Style 14" xfId="2377" xr:uid="{00000000-0005-0000-0000-000087090000}"/>
    <cellStyle name="Style 15" xfId="2378" xr:uid="{00000000-0005-0000-0000-000088090000}"/>
    <cellStyle name="Style 16" xfId="2379" xr:uid="{00000000-0005-0000-0000-000089090000}"/>
    <cellStyle name="Style 17" xfId="2380" xr:uid="{00000000-0005-0000-0000-00008A090000}"/>
    <cellStyle name="Style 18" xfId="2381" xr:uid="{00000000-0005-0000-0000-00008B090000}"/>
    <cellStyle name="Style 19" xfId="2382" xr:uid="{00000000-0005-0000-0000-00008C090000}"/>
    <cellStyle name="Style 2" xfId="2383" xr:uid="{00000000-0005-0000-0000-00008D090000}"/>
    <cellStyle name="Style 20" xfId="2384" xr:uid="{00000000-0005-0000-0000-00008E090000}"/>
    <cellStyle name="Style 21" xfId="2385" xr:uid="{00000000-0005-0000-0000-00008F090000}"/>
    <cellStyle name="Style 22" xfId="2386" xr:uid="{00000000-0005-0000-0000-000090090000}"/>
    <cellStyle name="Style 23" xfId="2387" xr:uid="{00000000-0005-0000-0000-000091090000}"/>
    <cellStyle name="Style 24" xfId="2388" xr:uid="{00000000-0005-0000-0000-000092090000}"/>
    <cellStyle name="Style 25" xfId="2389" xr:uid="{00000000-0005-0000-0000-000093090000}"/>
    <cellStyle name="Style 26" xfId="2390" xr:uid="{00000000-0005-0000-0000-000094090000}"/>
    <cellStyle name="Style 27" xfId="2391" xr:uid="{00000000-0005-0000-0000-000095090000}"/>
    <cellStyle name="Style 28" xfId="2392" xr:uid="{00000000-0005-0000-0000-000096090000}"/>
    <cellStyle name="Style 29" xfId="2393" xr:uid="{00000000-0005-0000-0000-000097090000}"/>
    <cellStyle name="Style 3" xfId="2394" xr:uid="{00000000-0005-0000-0000-000098090000}"/>
    <cellStyle name="Style 30" xfId="2395" xr:uid="{00000000-0005-0000-0000-000099090000}"/>
    <cellStyle name="Style 31" xfId="2396" xr:uid="{00000000-0005-0000-0000-00009A090000}"/>
    <cellStyle name="Style 32" xfId="2397" xr:uid="{00000000-0005-0000-0000-00009B090000}"/>
    <cellStyle name="Style 33" xfId="2398" xr:uid="{00000000-0005-0000-0000-00009C090000}"/>
    <cellStyle name="Style 34" xfId="2399" xr:uid="{00000000-0005-0000-0000-00009D090000}"/>
    <cellStyle name="Style 35" xfId="2400" xr:uid="{00000000-0005-0000-0000-00009E090000}"/>
    <cellStyle name="Style 36" xfId="2401" xr:uid="{00000000-0005-0000-0000-00009F090000}"/>
    <cellStyle name="Style 37" xfId="2402" xr:uid="{00000000-0005-0000-0000-0000A0090000}"/>
    <cellStyle name="Style 38" xfId="2403" xr:uid="{00000000-0005-0000-0000-0000A1090000}"/>
    <cellStyle name="Style 39" xfId="2404" xr:uid="{00000000-0005-0000-0000-0000A2090000}"/>
    <cellStyle name="Style 4" xfId="2405" xr:uid="{00000000-0005-0000-0000-0000A3090000}"/>
    <cellStyle name="Style 40" xfId="2406" xr:uid="{00000000-0005-0000-0000-0000A4090000}"/>
    <cellStyle name="Style 41" xfId="2407" xr:uid="{00000000-0005-0000-0000-0000A5090000}"/>
    <cellStyle name="Style 42" xfId="2408" xr:uid="{00000000-0005-0000-0000-0000A6090000}"/>
    <cellStyle name="Style 43" xfId="2409" xr:uid="{00000000-0005-0000-0000-0000A7090000}"/>
    <cellStyle name="Style 44" xfId="2410" xr:uid="{00000000-0005-0000-0000-0000A8090000}"/>
    <cellStyle name="Style 45" xfId="2411" xr:uid="{00000000-0005-0000-0000-0000A9090000}"/>
    <cellStyle name="Style 46" xfId="2412" xr:uid="{00000000-0005-0000-0000-0000AA090000}"/>
    <cellStyle name="Style 47" xfId="2413" xr:uid="{00000000-0005-0000-0000-0000AB090000}"/>
    <cellStyle name="Style 48" xfId="2414" xr:uid="{00000000-0005-0000-0000-0000AC090000}"/>
    <cellStyle name="Style 49" xfId="2415" xr:uid="{00000000-0005-0000-0000-0000AD090000}"/>
    <cellStyle name="Style 5" xfId="2416" xr:uid="{00000000-0005-0000-0000-0000AE090000}"/>
    <cellStyle name="Style 50" xfId="2417" xr:uid="{00000000-0005-0000-0000-0000AF090000}"/>
    <cellStyle name="Style 51" xfId="2418" xr:uid="{00000000-0005-0000-0000-0000B0090000}"/>
    <cellStyle name="Style 52" xfId="2419" xr:uid="{00000000-0005-0000-0000-0000B1090000}"/>
    <cellStyle name="Style 53" xfId="2420" xr:uid="{00000000-0005-0000-0000-0000B2090000}"/>
    <cellStyle name="Style 54" xfId="2421" xr:uid="{00000000-0005-0000-0000-0000B3090000}"/>
    <cellStyle name="Style 55" xfId="2422" xr:uid="{00000000-0005-0000-0000-0000B4090000}"/>
    <cellStyle name="Style 56" xfId="2423" xr:uid="{00000000-0005-0000-0000-0000B5090000}"/>
    <cellStyle name="Style 57" xfId="2424" xr:uid="{00000000-0005-0000-0000-0000B6090000}"/>
    <cellStyle name="Style 57 2" xfId="2879" xr:uid="{00000000-0005-0000-0000-0000B7090000}"/>
    <cellStyle name="Style 58" xfId="2425" xr:uid="{00000000-0005-0000-0000-0000B8090000}"/>
    <cellStyle name="Style 59" xfId="2426" xr:uid="{00000000-0005-0000-0000-0000B9090000}"/>
    <cellStyle name="Style 6" xfId="2427" xr:uid="{00000000-0005-0000-0000-0000BA090000}"/>
    <cellStyle name="Style 60" xfId="2428" xr:uid="{00000000-0005-0000-0000-0000BB090000}"/>
    <cellStyle name="Style 61" xfId="2429" xr:uid="{00000000-0005-0000-0000-0000BC090000}"/>
    <cellStyle name="Style 62" xfId="2430" xr:uid="{00000000-0005-0000-0000-0000BD090000}"/>
    <cellStyle name="Style 63" xfId="2431" xr:uid="{00000000-0005-0000-0000-0000BE090000}"/>
    <cellStyle name="Style 64" xfId="2432" xr:uid="{00000000-0005-0000-0000-0000BF090000}"/>
    <cellStyle name="Style 65" xfId="2433" xr:uid="{00000000-0005-0000-0000-0000C0090000}"/>
    <cellStyle name="Style 66" xfId="2434" xr:uid="{00000000-0005-0000-0000-0000C1090000}"/>
    <cellStyle name="Style 67" xfId="2435" xr:uid="{00000000-0005-0000-0000-0000C2090000}"/>
    <cellStyle name="Style 68" xfId="2436" xr:uid="{00000000-0005-0000-0000-0000C3090000}"/>
    <cellStyle name="Style 69" xfId="2437" xr:uid="{00000000-0005-0000-0000-0000C4090000}"/>
    <cellStyle name="Style 7" xfId="2438" xr:uid="{00000000-0005-0000-0000-0000C5090000}"/>
    <cellStyle name="Style 70" xfId="2439" xr:uid="{00000000-0005-0000-0000-0000C6090000}"/>
    <cellStyle name="Style 71" xfId="2440" xr:uid="{00000000-0005-0000-0000-0000C7090000}"/>
    <cellStyle name="Style 72" xfId="2441" xr:uid="{00000000-0005-0000-0000-0000C8090000}"/>
    <cellStyle name="Style 73" xfId="2442" xr:uid="{00000000-0005-0000-0000-0000C9090000}"/>
    <cellStyle name="Style 74" xfId="2443" xr:uid="{00000000-0005-0000-0000-0000CA090000}"/>
    <cellStyle name="Style 75" xfId="2444" xr:uid="{00000000-0005-0000-0000-0000CB090000}"/>
    <cellStyle name="Style 76" xfId="2445" xr:uid="{00000000-0005-0000-0000-0000CC090000}"/>
    <cellStyle name="Style 77" xfId="2446" xr:uid="{00000000-0005-0000-0000-0000CD090000}"/>
    <cellStyle name="Style 78" xfId="2447" xr:uid="{00000000-0005-0000-0000-0000CE090000}"/>
    <cellStyle name="Style 79" xfId="2448" xr:uid="{00000000-0005-0000-0000-0000CF090000}"/>
    <cellStyle name="Style 8" xfId="2449" xr:uid="{00000000-0005-0000-0000-0000D0090000}"/>
    <cellStyle name="Style 80" xfId="2450" xr:uid="{00000000-0005-0000-0000-0000D1090000}"/>
    <cellStyle name="Style 81" xfId="2451" xr:uid="{00000000-0005-0000-0000-0000D2090000}"/>
    <cellStyle name="Style 82" xfId="2452" xr:uid="{00000000-0005-0000-0000-0000D3090000}"/>
    <cellStyle name="Style 83" xfId="2453" xr:uid="{00000000-0005-0000-0000-0000D4090000}"/>
    <cellStyle name="Style 9" xfId="2454" xr:uid="{00000000-0005-0000-0000-0000D5090000}"/>
    <cellStyle name="style_1" xfId="2455" xr:uid="{00000000-0005-0000-0000-0000D6090000}"/>
    <cellStyle name="subhead" xfId="2456" xr:uid="{00000000-0005-0000-0000-0000D7090000}"/>
    <cellStyle name="Subtotal" xfId="2457" xr:uid="{00000000-0005-0000-0000-0000D8090000}"/>
    <cellStyle name="symbol" xfId="2458" xr:uid="{00000000-0005-0000-0000-0000D9090000}"/>
    <cellStyle name="T" xfId="2459" xr:uid="{00000000-0005-0000-0000-0000DA090000}"/>
    <cellStyle name="T_04 khai toan dz22 XAY DUNG MOI" xfId="2460" xr:uid="{00000000-0005-0000-0000-0000DB090000}"/>
    <cellStyle name="T_04 khai toan dz22 XAY DUNG MOI_Book1" xfId="2461" xr:uid="{00000000-0005-0000-0000-0000DC090000}"/>
    <cellStyle name="T_Anten Hai Lang (chuan)" xfId="2462" xr:uid="{00000000-0005-0000-0000-0000DD090000}"/>
    <cellStyle name="T_Anten Hai Lang (chuan)_Book1" xfId="2463" xr:uid="{00000000-0005-0000-0000-0000DE090000}"/>
    <cellStyle name="T_Anten Hai lang (file cua B)" xfId="2464" xr:uid="{00000000-0005-0000-0000-0000DF090000}"/>
    <cellStyle name="T_Anten Hai lang (file cua B)_Book1" xfId="2465" xr:uid="{00000000-0005-0000-0000-0000E0090000}"/>
    <cellStyle name="T_Anten Vinh Linh (chuan)-P8 duyet 30.8.05" xfId="2466" xr:uid="{00000000-0005-0000-0000-0000E1090000}"/>
    <cellStyle name="T_Anten Vinh Linh (chuan)-P8 duyet 30.8.05_Book1" xfId="2467" xr:uid="{00000000-0005-0000-0000-0000E2090000}"/>
    <cellStyle name="T_Anten Vinh Linh (file cua B)" xfId="2468" xr:uid="{00000000-0005-0000-0000-0000E3090000}"/>
    <cellStyle name="T_Anten Vinh Linh (file cua B)_Book1" xfId="2469" xr:uid="{00000000-0005-0000-0000-0000E4090000}"/>
    <cellStyle name="T_BaGianA" xfId="2470" xr:uid="{00000000-0005-0000-0000-0000E5090000}"/>
    <cellStyle name="T_BaGianA_Book1" xfId="2471" xr:uid="{00000000-0005-0000-0000-0000E6090000}"/>
    <cellStyle name="T_bang gia ca may (so)" xfId="2472" xr:uid="{00000000-0005-0000-0000-0000E7090000}"/>
    <cellStyle name="T_bang gia ca may (so)_Book1" xfId="2473" xr:uid="{00000000-0005-0000-0000-0000E8090000}"/>
    <cellStyle name="T_bang gia ca may xay dung moi dieu chinh" xfId="2474" xr:uid="{00000000-0005-0000-0000-0000E9090000}"/>
    <cellStyle name="T_bang gia ca may xay dung moi dieu chinh 2" xfId="2880" xr:uid="{00000000-0005-0000-0000-0000EA090000}"/>
    <cellStyle name="T_Bang ke" xfId="2475" xr:uid="{00000000-0005-0000-0000-0000EB090000}"/>
    <cellStyle name="T_Bang ke_Book1" xfId="2476" xr:uid="{00000000-0005-0000-0000-0000EC090000}"/>
    <cellStyle name="T_BangMTC" xfId="2477" xr:uid="{00000000-0005-0000-0000-0000ED090000}"/>
    <cellStyle name="T_BangMTC 2" xfId="2881" xr:uid="{00000000-0005-0000-0000-0000EE090000}"/>
    <cellStyle name="T_BangNC" xfId="2478" xr:uid="{00000000-0005-0000-0000-0000EF090000}"/>
    <cellStyle name="T_BangNC 2" xfId="2882" xr:uid="{00000000-0005-0000-0000-0000F0090000}"/>
    <cellStyle name="T_bangtinh luong6" xfId="2479" xr:uid="{00000000-0005-0000-0000-0000F1090000}"/>
    <cellStyle name="T_bangtinh luong6_Book1" xfId="2480" xr:uid="{00000000-0005-0000-0000-0000F2090000}"/>
    <cellStyle name="T_bangtinh luong6_MK-TK" xfId="2481" xr:uid="{00000000-0005-0000-0000-0000F3090000}"/>
    <cellStyle name="T_bangtinh luong6_MK-TK_Book1" xfId="2482" xr:uid="{00000000-0005-0000-0000-0000F4090000}"/>
    <cellStyle name="T_báo cao 09" xfId="2483" xr:uid="{00000000-0005-0000-0000-0000F5090000}"/>
    <cellStyle name="T_báo cao 09_Book1" xfId="2484" xr:uid="{00000000-0005-0000-0000-0000F6090000}"/>
    <cellStyle name="T_Baocao1034" xfId="2485" xr:uid="{00000000-0005-0000-0000-0000F7090000}"/>
    <cellStyle name="T_Bieu KH 2008" xfId="2486" xr:uid="{00000000-0005-0000-0000-0000F8090000}"/>
    <cellStyle name="T_Bieu KH 2008_Book1" xfId="2487" xr:uid="{00000000-0005-0000-0000-0000F9090000}"/>
    <cellStyle name="T_Book1" xfId="2488" xr:uid="{00000000-0005-0000-0000-0000FA090000}"/>
    <cellStyle name="T_Book1_1" xfId="2489" xr:uid="{00000000-0005-0000-0000-0000FB090000}"/>
    <cellStyle name="T_Book1_1_Bang tien luong NGAN HANG NGOAI THUONG DN(Sung) " xfId="2490" xr:uid="{00000000-0005-0000-0000-0000FC090000}"/>
    <cellStyle name="T_Book1_1_Bang tien luong NGAN HANG NGOAI THUONG DN(Sung) _Book1" xfId="2491" xr:uid="{00000000-0005-0000-0000-0000FD090000}"/>
    <cellStyle name="T_Book1_1_BangMTC" xfId="2492" xr:uid="{00000000-0005-0000-0000-0000FE090000}"/>
    <cellStyle name="T_Book1_1_BangMTC_Book1" xfId="2493" xr:uid="{00000000-0005-0000-0000-0000FF090000}"/>
    <cellStyle name="T_Book1_1_BangNC" xfId="2494" xr:uid="{00000000-0005-0000-0000-0000000A0000}"/>
    <cellStyle name="T_Book1_1_BangNC_Book1" xfId="2495" xr:uid="{00000000-0005-0000-0000-0000010A0000}"/>
    <cellStyle name="T_Book1_1_BCKT-NHNN-8-4-10 " xfId="2496" xr:uid="{00000000-0005-0000-0000-0000020A0000}"/>
    <cellStyle name="T_Book1_1_BCKT-NHNN-8-4-10 _Book1" xfId="2497" xr:uid="{00000000-0005-0000-0000-0000030A0000}"/>
    <cellStyle name="T_Book1_1_Book1" xfId="2498" xr:uid="{00000000-0005-0000-0000-0000040A0000}"/>
    <cellStyle name="T_Book1_1_Book1_1" xfId="2499" xr:uid="{00000000-0005-0000-0000-0000050A0000}"/>
    <cellStyle name="T_Book1_1_Book1_1 2" xfId="2883" xr:uid="{00000000-0005-0000-0000-0000060A0000}"/>
    <cellStyle name="T_Book1_1_Book1_2" xfId="2500" xr:uid="{00000000-0005-0000-0000-0000070A0000}"/>
    <cellStyle name="T_Book1_1_Book1_Gia du thau  Truong KT-KT(Chot) " xfId="2501" xr:uid="{00000000-0005-0000-0000-0000080A0000}"/>
    <cellStyle name="T_Book1_1_Book1_May thi cong Groz " xfId="2502" xr:uid="{00000000-0005-0000-0000-0000090A0000}"/>
    <cellStyle name="T_Book1_1_Book1_May thi cong Groz _Book1" xfId="2503" xr:uid="{00000000-0005-0000-0000-00000A0A0000}"/>
    <cellStyle name="T_Book1_1_DADTCauYeu_(1)" xfId="2504" xr:uid="{00000000-0005-0000-0000-00000B0A0000}"/>
    <cellStyle name="T_Book1_1_DADTCauYeu_(1)_Book1" xfId="2505" xr:uid="{00000000-0005-0000-0000-00000C0A0000}"/>
    <cellStyle name="T_Book1_1_don gia KSat avuong" xfId="2506" xr:uid="{00000000-0005-0000-0000-00000D0A0000}"/>
    <cellStyle name="T_Book1_1_don gia KSat avuong_Book1" xfId="2507" xr:uid="{00000000-0005-0000-0000-00000E0A0000}"/>
    <cellStyle name="T_Book1_1_DT Dieu chinh A.Lan" xfId="2508" xr:uid="{00000000-0005-0000-0000-00000F0A0000}"/>
    <cellStyle name="T_Book1_1_DT Dieu chinh A.Lan_Book1" xfId="2509" xr:uid="{00000000-0005-0000-0000-0000100A0000}"/>
    <cellStyle name="T_Book1_1_Du kien giai ngan cac du an den 30-6-16-OK" xfId="2510" xr:uid="{00000000-0005-0000-0000-0000110A0000}"/>
    <cellStyle name="T_Book1_1_Du kien giai ngan cac du an den 30-6-16-OK_Book1" xfId="2511" xr:uid="{00000000-0005-0000-0000-0000120A0000}"/>
    <cellStyle name="T_Book1_1_Du toan TL702D2" xfId="2512" xr:uid="{00000000-0005-0000-0000-0000130A0000}"/>
    <cellStyle name="T_Book1_1_Du toan TL702D2 2" xfId="2884" xr:uid="{00000000-0005-0000-0000-0000140A0000}"/>
    <cellStyle name="T_Book1_1_GIA CA MAY moi 2014" xfId="2513" xr:uid="{00000000-0005-0000-0000-0000150A0000}"/>
    <cellStyle name="T_Book1_1_GIA CA MAY moi 2014_Book1" xfId="2514" xr:uid="{00000000-0005-0000-0000-0000160A0000}"/>
    <cellStyle name="T_Book1_1_Gia du thau  Truong KT-KT(Chot) " xfId="2515" xr:uid="{00000000-0005-0000-0000-0000170A0000}"/>
    <cellStyle name="T_Book1_1_Gia du thau  Truong KT-KT(Chot) _Book1" xfId="2516" xr:uid="{00000000-0005-0000-0000-0000180A0000}"/>
    <cellStyle name="T_Book1_1_Khoi luong cac hang muc chi tiet-702" xfId="2517" xr:uid="{00000000-0005-0000-0000-0000190A0000}"/>
    <cellStyle name="T_Book1_1_Khoi luong cac hang muc chi tiet-702 2" xfId="2885" xr:uid="{00000000-0005-0000-0000-00001A0A0000}"/>
    <cellStyle name="T_Book1_1_PTT thong tin" xfId="2518" xr:uid="{00000000-0005-0000-0000-00001B0A0000}"/>
    <cellStyle name="T_Book1_1_PTT thong tin_Book1" xfId="2519" xr:uid="{00000000-0005-0000-0000-00001C0A0000}"/>
    <cellStyle name="T_Book1_1_Tong du toan" xfId="2524" xr:uid="{00000000-0005-0000-0000-00001D0A0000}"/>
    <cellStyle name="T_Book1_1_Tong du toan 2" xfId="2886" xr:uid="{00000000-0005-0000-0000-00001E0A0000}"/>
    <cellStyle name="T_Book1_1_thanh toan CND OK" xfId="2520" xr:uid="{00000000-0005-0000-0000-00001F0A0000}"/>
    <cellStyle name="T_Book1_1_thanh toan CND OK_Book1" xfId="2521" xr:uid="{00000000-0005-0000-0000-0000200A0000}"/>
    <cellStyle name="T_Book1_1_thanh toan Nhon Binh - AVAn" xfId="2522" xr:uid="{00000000-0005-0000-0000-0000210A0000}"/>
    <cellStyle name="T_Book1_1_thanh toan Nhon Binh - AVAn_Book1" xfId="2523" xr:uid="{00000000-0005-0000-0000-0000220A0000}"/>
    <cellStyle name="T_Book1_2" xfId="2525" xr:uid="{00000000-0005-0000-0000-0000230A0000}"/>
    <cellStyle name="T_Book1_2_0. Nha o tam dieu hanh ky thuat " xfId="2526" xr:uid="{00000000-0005-0000-0000-0000240A0000}"/>
    <cellStyle name="T_Book1_2_0. Nha o tam dieu hanh ky thuat _Book1" xfId="2527" xr:uid="{00000000-0005-0000-0000-0000250A0000}"/>
    <cellStyle name="T_Book1_2_Book1" xfId="2528" xr:uid="{00000000-0005-0000-0000-0000260A0000}"/>
    <cellStyle name="T_Book1_2_Book1_1" xfId="2529" xr:uid="{00000000-0005-0000-0000-0000270A0000}"/>
    <cellStyle name="T_Book1_2_Book1_Book1" xfId="2530" xr:uid="{00000000-0005-0000-0000-0000280A0000}"/>
    <cellStyle name="T_Book1_2_Du kien giai ngan cac du an den 30-6-16-OK" xfId="2531" xr:uid="{00000000-0005-0000-0000-0000290A0000}"/>
    <cellStyle name="T_Book1_2_Du kien giai ngan cac du an den 30-6-16-OK_Book1" xfId="2532" xr:uid="{00000000-0005-0000-0000-00002A0A0000}"/>
    <cellStyle name="T_Book1_2_Gia du thau  Truong KT-KT(Chot) " xfId="2533" xr:uid="{00000000-0005-0000-0000-00002B0A0000}"/>
    <cellStyle name="T_Book1_2_Gia du thau  Truong KT-KT(Chot) _Book1" xfId="2534" xr:uid="{00000000-0005-0000-0000-00002C0A0000}"/>
    <cellStyle name="T_Book1_2_Hang muc moi D-N 10 tang " xfId="2535" xr:uid="{00000000-0005-0000-0000-00002D0A0000}"/>
    <cellStyle name="T_Book1_2_Hang muc moi D-N 10 tang _Book1" xfId="2536" xr:uid="{00000000-0005-0000-0000-00002E0A0000}"/>
    <cellStyle name="T_Book1_2_May thi cong Groz " xfId="2537" xr:uid="{00000000-0005-0000-0000-00002F0A0000}"/>
    <cellStyle name="T_Book1_2_May thi cong Groz _Book1" xfId="2538" xr:uid="{00000000-0005-0000-0000-0000300A0000}"/>
    <cellStyle name="T_Book1_2_MK-TK" xfId="2539" xr:uid="{00000000-0005-0000-0000-0000310A0000}"/>
    <cellStyle name="T_Book1_2_MK-TK_Book1" xfId="2540" xr:uid="{00000000-0005-0000-0000-0000320A0000}"/>
    <cellStyle name="T_Book1_2_Tong du toan" xfId="2541" xr:uid="{00000000-0005-0000-0000-0000330A0000}"/>
    <cellStyle name="T_Book1_2_Tong du toan_Book1" xfId="2542" xr:uid="{00000000-0005-0000-0000-0000340A0000}"/>
    <cellStyle name="T_Book1_3" xfId="2543" xr:uid="{00000000-0005-0000-0000-0000350A0000}"/>
    <cellStyle name="T_Book1_4" xfId="2544" xr:uid="{00000000-0005-0000-0000-0000360A0000}"/>
    <cellStyle name="T_Book1_Anten Hai Lang (chuan)" xfId="2545" xr:uid="{00000000-0005-0000-0000-0000370A0000}"/>
    <cellStyle name="T_Book1_Anten Hai Lang (chuan)_Book1" xfId="2546" xr:uid="{00000000-0005-0000-0000-0000380A0000}"/>
    <cellStyle name="T_Book1_Anten Hai lang (file cua B)" xfId="2547" xr:uid="{00000000-0005-0000-0000-0000390A0000}"/>
    <cellStyle name="T_Book1_Anten Hai lang (file cua B)_Book1" xfId="2548" xr:uid="{00000000-0005-0000-0000-00003A0A0000}"/>
    <cellStyle name="T_Book1_Anten Vinh Linh (chuan)-P8 duyet 30.8.05" xfId="2549" xr:uid="{00000000-0005-0000-0000-00003B0A0000}"/>
    <cellStyle name="T_Book1_Anten Vinh Linh (chuan)-P8 duyet 30.8.05_Book1" xfId="2550" xr:uid="{00000000-0005-0000-0000-00003C0A0000}"/>
    <cellStyle name="T_Book1_Anten Vinh Linh (file cua B)" xfId="2551" xr:uid="{00000000-0005-0000-0000-00003D0A0000}"/>
    <cellStyle name="T_Book1_Anten Vinh Linh (file cua B)_Book1" xfId="2552" xr:uid="{00000000-0005-0000-0000-00003E0A0000}"/>
    <cellStyle name="T_Book1_Bang tien luong NGAN HANG NGOAI THUONG DN(Sung) " xfId="2553" xr:uid="{00000000-0005-0000-0000-00003F0A0000}"/>
    <cellStyle name="T_Book1_Bang tien luong NGAN HANG NGOAI THUONG DN(Sung) _Book1" xfId="2554" xr:uid="{00000000-0005-0000-0000-0000400A0000}"/>
    <cellStyle name="T_Book1_BangMTC" xfId="2555" xr:uid="{00000000-0005-0000-0000-0000410A0000}"/>
    <cellStyle name="T_Book1_BangMTC 2" xfId="2887" xr:uid="{00000000-0005-0000-0000-0000420A0000}"/>
    <cellStyle name="T_Book1_BangNC" xfId="2556" xr:uid="{00000000-0005-0000-0000-0000430A0000}"/>
    <cellStyle name="T_Book1_BangNC 2" xfId="2888" xr:uid="{00000000-0005-0000-0000-0000440A0000}"/>
    <cellStyle name="T_Book1_BCKT-NHNN-8-4-10 " xfId="2557" xr:uid="{00000000-0005-0000-0000-0000450A0000}"/>
    <cellStyle name="T_Book1_Book1" xfId="2558" xr:uid="{00000000-0005-0000-0000-0000460A0000}"/>
    <cellStyle name="T_Book1_Book1 2" xfId="2889" xr:uid="{00000000-0005-0000-0000-0000470A0000}"/>
    <cellStyle name="T_Book1_Book1_1" xfId="2559" xr:uid="{00000000-0005-0000-0000-0000480A0000}"/>
    <cellStyle name="T_Book1_Book1_1_GIA CA MAY moi 2014" xfId="2560" xr:uid="{00000000-0005-0000-0000-0000490A0000}"/>
    <cellStyle name="T_Book1_Book1_1_GIA CA MAY moi 2014 2" xfId="2890" xr:uid="{00000000-0005-0000-0000-00004A0A0000}"/>
    <cellStyle name="T_Book1_Book1_1_Gia du thau  Truong KT-KT(Chot) " xfId="2561" xr:uid="{00000000-0005-0000-0000-00004B0A0000}"/>
    <cellStyle name="T_Book1_Book1_1_Gia du thau  Truong KT-KT(Chot) _Book1" xfId="2562" xr:uid="{00000000-0005-0000-0000-00004C0A0000}"/>
    <cellStyle name="T_Book1_Book1_1_Hang muc moi D-N 10 tang " xfId="2563" xr:uid="{00000000-0005-0000-0000-00004D0A0000}"/>
    <cellStyle name="T_Book1_Book1_1_Hang muc moi D-N 10 tang _Book1" xfId="2564" xr:uid="{00000000-0005-0000-0000-00004E0A0000}"/>
    <cellStyle name="T_Book1_Book1_2" xfId="2565" xr:uid="{00000000-0005-0000-0000-00004F0A0000}"/>
    <cellStyle name="T_Book1_Book1_2_Book1" xfId="2566" xr:uid="{00000000-0005-0000-0000-0000500A0000}"/>
    <cellStyle name="T_Book1_Book1_BCKT-NHNN-8-4-10 " xfId="2567" xr:uid="{00000000-0005-0000-0000-0000510A0000}"/>
    <cellStyle name="T_Book1_Book1_BCKT-NHNN-8-4-10 _Book1" xfId="2568" xr:uid="{00000000-0005-0000-0000-0000520A0000}"/>
    <cellStyle name="T_Book1_Book1_GIA CA MAY moi 2014" xfId="2569" xr:uid="{00000000-0005-0000-0000-0000530A0000}"/>
    <cellStyle name="T_Book1_Book1_GIA CA MAY moi 2014_Book1" xfId="2570" xr:uid="{00000000-0005-0000-0000-0000540A0000}"/>
    <cellStyle name="T_Book1_Book1_Gia du thau  Truong KT-KT(Chot) " xfId="2571" xr:uid="{00000000-0005-0000-0000-0000550A0000}"/>
    <cellStyle name="T_Book1_DADTCauYeu_(1)" xfId="2572" xr:uid="{00000000-0005-0000-0000-0000560A0000}"/>
    <cellStyle name="T_Book1_DADTCauYeu_(1) 2" xfId="2891" xr:uid="{00000000-0005-0000-0000-0000570A0000}"/>
    <cellStyle name="T_Book1_don gia KSat avuong" xfId="2573" xr:uid="{00000000-0005-0000-0000-0000580A0000}"/>
    <cellStyle name="T_Book1_don gia KSat avuong 2" xfId="2892" xr:uid="{00000000-0005-0000-0000-0000590A0000}"/>
    <cellStyle name="T_Book1_DT Dieu chinh A.Lan" xfId="2574" xr:uid="{00000000-0005-0000-0000-00005A0A0000}"/>
    <cellStyle name="T_Book1_DT Dieu chinh A.Lan 2" xfId="2893" xr:uid="{00000000-0005-0000-0000-00005B0A0000}"/>
    <cellStyle name="T_Book1_Du kien giai ngan cac du an den 30-6-16-OK" xfId="2575" xr:uid="{00000000-0005-0000-0000-00005C0A0000}"/>
    <cellStyle name="T_Book1_Du kien giai ngan cac du an den 30-6-16-OK_Book1" xfId="2576" xr:uid="{00000000-0005-0000-0000-00005D0A0000}"/>
    <cellStyle name="T_Book1_GIA CA MAY moi 2014" xfId="2577" xr:uid="{00000000-0005-0000-0000-00005E0A0000}"/>
    <cellStyle name="T_Book1_GIA CA MAY moi 2014_Book1" xfId="2578" xr:uid="{00000000-0005-0000-0000-00005F0A0000}"/>
    <cellStyle name="T_Book1_Gia du thau  Truong KT-KT(Chot) " xfId="2579" xr:uid="{00000000-0005-0000-0000-0000600A0000}"/>
    <cellStyle name="T_Book1_Gia du thau  Truong KT-KT(Chot) _Book1" xfId="2580" xr:uid="{00000000-0005-0000-0000-0000610A0000}"/>
    <cellStyle name="T_Book1_Khoi luong cac hang muc chi tiet-702" xfId="2581" xr:uid="{00000000-0005-0000-0000-0000620A0000}"/>
    <cellStyle name="T_Book1_Khoi luong cac hang muc chi tiet-702_Book1" xfId="2582" xr:uid="{00000000-0005-0000-0000-0000630A0000}"/>
    <cellStyle name="T_Book1_PTT thong tin" xfId="2583" xr:uid="{00000000-0005-0000-0000-0000640A0000}"/>
    <cellStyle name="T_Book1_PTT thong tin 2" xfId="2894" xr:uid="{00000000-0005-0000-0000-0000650A0000}"/>
    <cellStyle name="T_Book1_Sheet1_Gia du thau  Truong KT-KT(Chot) " xfId="2584" xr:uid="{00000000-0005-0000-0000-0000660A0000}"/>
    <cellStyle name="T_Book1_Sheet1_Hang muc moi D-N 10 tang " xfId="2585" xr:uid="{00000000-0005-0000-0000-0000670A0000}"/>
    <cellStyle name="T_Book1_Sheet1_Hang muc moi D-N 10 tang _Book1" xfId="2586" xr:uid="{00000000-0005-0000-0000-0000680A0000}"/>
    <cellStyle name="T_Book1_Tong du toan" xfId="2592" xr:uid="{00000000-0005-0000-0000-0000690A0000}"/>
    <cellStyle name="T_Book1_thanh toan CND OK" xfId="2587" xr:uid="{00000000-0005-0000-0000-00006A0A0000}"/>
    <cellStyle name="T_Book1_thanh toan CND OK_Book1" xfId="2588" xr:uid="{00000000-0005-0000-0000-00006B0A0000}"/>
    <cellStyle name="T_Book1_thanh toan Nhon Binh - AVAn" xfId="2589" xr:uid="{00000000-0005-0000-0000-00006C0A0000}"/>
    <cellStyle name="T_Book1_THKLTL702" xfId="2590" xr:uid="{00000000-0005-0000-0000-00006D0A0000}"/>
    <cellStyle name="T_Book1_THKLTL702_Book1" xfId="2591" xr:uid="{00000000-0005-0000-0000-00006E0A0000}"/>
    <cellStyle name="T_camera" xfId="2593" xr:uid="{00000000-0005-0000-0000-00006F0A0000}"/>
    <cellStyle name="T_camera 2" xfId="2895" xr:uid="{00000000-0005-0000-0000-0000700A0000}"/>
    <cellStyle name="T_cau Hoa Xuan (22-7-08) duyet" xfId="2594" xr:uid="{00000000-0005-0000-0000-0000710A0000}"/>
    <cellStyle name="T_Cau Phu Phuong" xfId="2595" xr:uid="{00000000-0005-0000-0000-0000720A0000}"/>
    <cellStyle name="T_Cau Phu Phuong_Book1" xfId="2596" xr:uid="{00000000-0005-0000-0000-0000730A0000}"/>
    <cellStyle name="T_Cau1520+237" xfId="2597" xr:uid="{00000000-0005-0000-0000-0000740A0000}"/>
    <cellStyle name="T_Cau1539+955-Thuong 29-11" xfId="2598" xr:uid="{00000000-0005-0000-0000-0000750A0000}"/>
    <cellStyle name="T_Cau43+041(Ham1Cong)xong" xfId="2599" xr:uid="{00000000-0005-0000-0000-0000760A0000}"/>
    <cellStyle name="T_Cau43+041(Ham1Cong)xong_Book1" xfId="2600" xr:uid="{00000000-0005-0000-0000-0000770A0000}"/>
    <cellStyle name="T_CauvuotCoThanhKm44+501.94(m)" xfId="2601" xr:uid="{00000000-0005-0000-0000-0000780A0000}"/>
    <cellStyle name="T_CauvuotCoThanhKm44+501.94(m)_Book1" xfId="2602" xr:uid="{00000000-0005-0000-0000-0000790A0000}"/>
    <cellStyle name="T_CDKT" xfId="2603" xr:uid="{00000000-0005-0000-0000-00007A0A0000}"/>
    <cellStyle name="T_CDKT_Du kien giai ngan cac du an den 30-6-16-OK" xfId="2604" xr:uid="{00000000-0005-0000-0000-00007B0A0000}"/>
    <cellStyle name="T_CDKT_Du kien giai ngan cac du an den 30-6-16-OK 2" xfId="2896" xr:uid="{00000000-0005-0000-0000-00007C0A0000}"/>
    <cellStyle name="T_Copy of bieu thi quan he HSNC" xfId="2605" xr:uid="{00000000-0005-0000-0000-00007D0A0000}"/>
    <cellStyle name="T_Copy of bieu thi quan he HSNC_Book1" xfId="2606" xr:uid="{00000000-0005-0000-0000-00007E0A0000}"/>
    <cellStyle name="T_CSHT4-2002" xfId="2607" xr:uid="{00000000-0005-0000-0000-00007F0A0000}"/>
    <cellStyle name="T_DATRIAN5-2003" xfId="2608" xr:uid="{00000000-0005-0000-0000-0000800A0000}"/>
    <cellStyle name="T_denbu" xfId="2609" xr:uid="{00000000-0005-0000-0000-0000810A0000}"/>
    <cellStyle name="T_denbu_Book1" xfId="2610" xr:uid="{00000000-0005-0000-0000-0000820A0000}"/>
    <cellStyle name="T_DG Cat Ne_XB1" xfId="2611" xr:uid="{00000000-0005-0000-0000-0000830A0000}"/>
    <cellStyle name="T_DG Cat Ne_XB1_Book1" xfId="2612" xr:uid="{00000000-0005-0000-0000-0000840A0000}"/>
    <cellStyle name="T_dt 1" xfId="2613" xr:uid="{00000000-0005-0000-0000-0000850A0000}"/>
    <cellStyle name="T_dt 1_Book1" xfId="2614" xr:uid="{00000000-0005-0000-0000-0000860A0000}"/>
    <cellStyle name="T_DT Khaosat DH (bo sung CSHK)." xfId="2615" xr:uid="{00000000-0005-0000-0000-0000870A0000}"/>
    <cellStyle name="T_DT Khaosat DH (bo sung CSHK)._Book1" xfId="2616" xr:uid="{00000000-0005-0000-0000-0000880A0000}"/>
    <cellStyle name="T_dt thau" xfId="2617" xr:uid="{00000000-0005-0000-0000-0000890A0000}"/>
    <cellStyle name="T_dt thau_Book1" xfId="2618" xr:uid="{00000000-0005-0000-0000-00008A0A0000}"/>
    <cellStyle name="T_dtTL598G1." xfId="2619" xr:uid="{00000000-0005-0000-0000-00008B0A0000}"/>
    <cellStyle name="T_dtTL598G1._Book1" xfId="2620" xr:uid="{00000000-0005-0000-0000-00008C0A0000}"/>
    <cellStyle name="T_Du kien giai ngan cac du an den 30-6-16-OK" xfId="2621" xr:uid="{00000000-0005-0000-0000-00008D0A0000}"/>
    <cellStyle name="T_Du kien giai ngan cac du an den 30-6-16-OK_Book1" xfId="2622" xr:uid="{00000000-0005-0000-0000-00008E0A0000}"/>
    <cellStyle name="T_Du toan JBIC2.Quang Tri HC sau tham dinh 882" xfId="2623" xr:uid="{00000000-0005-0000-0000-00008F0A0000}"/>
    <cellStyle name="T_Du toan JBIC2.Quang Tri HC sau tham dinh 882_Book1" xfId="2624" xr:uid="{00000000-0005-0000-0000-0000900A0000}"/>
    <cellStyle name="T_Du toan KCN Nhon binh 9-2006" xfId="2625" xr:uid="{00000000-0005-0000-0000-0000910A0000}"/>
    <cellStyle name="T_Du toan KCN Nhon binh 9-2006_Book1" xfId="2626" xr:uid="{00000000-0005-0000-0000-0000920A0000}"/>
    <cellStyle name="T_Du toan Pha do de quay tham tra" xfId="2627" xr:uid="{00000000-0005-0000-0000-0000930A0000}"/>
    <cellStyle name="T_Du toan Pha do de quay tham tra_Book1" xfId="2628" xr:uid="{00000000-0005-0000-0000-0000940A0000}"/>
    <cellStyle name="T_Duoi_THDTAV(06-05)" xfId="2629" xr:uid="{00000000-0005-0000-0000-0000950A0000}"/>
    <cellStyle name="T_DUTOANDUONG" xfId="2630" xr:uid="{00000000-0005-0000-0000-0000960A0000}"/>
    <cellStyle name="T_DUTOANDUONG_Book1" xfId="2631" xr:uid="{00000000-0005-0000-0000-0000970A0000}"/>
    <cellStyle name="T_GIA CA MAY moi 2014" xfId="2632" xr:uid="{00000000-0005-0000-0000-0000980A0000}"/>
    <cellStyle name="T_GIA CA MAY moi 2014_Book1" xfId="2633" xr:uid="{00000000-0005-0000-0000-0000990A0000}"/>
    <cellStyle name="T_gia vat lieu den hien truong" xfId="2634" xr:uid="{00000000-0005-0000-0000-00009A0A0000}"/>
    <cellStyle name="T_gia vat lieu den hien truong_Book1" xfId="2635" xr:uid="{00000000-0005-0000-0000-00009B0A0000}"/>
    <cellStyle name="T_Giaduthau" xfId="2636" xr:uid="{00000000-0005-0000-0000-00009C0A0000}"/>
    <cellStyle name="T_Giaduthau_Book1" xfId="2637" xr:uid="{00000000-0005-0000-0000-00009D0A0000}"/>
    <cellStyle name="T_KL T.toan - he thong duong ong nuoc ngam" xfId="2645" xr:uid="{00000000-0005-0000-0000-00009E0A0000}"/>
    <cellStyle name="T_KL T.toan - he thong duong ong nuoc ngam 2" xfId="2898" xr:uid="{00000000-0005-0000-0000-00009F0A0000}"/>
    <cellStyle name="T_Kl VL ranh" xfId="2646" xr:uid="{00000000-0005-0000-0000-0000A00A0000}"/>
    <cellStyle name="T_Kl VL ranh_Book1" xfId="2647" xr:uid="{00000000-0005-0000-0000-0000A10A0000}"/>
    <cellStyle name="T_KLNMD1" xfId="2648" xr:uid="{00000000-0005-0000-0000-0000A20A0000}"/>
    <cellStyle name="T_KLNMD1_Book1" xfId="2649" xr:uid="{00000000-0005-0000-0000-0000A30A0000}"/>
    <cellStyle name="T_KQTD_TDT_EtelDLBD_9-2006" xfId="2650" xr:uid="{00000000-0005-0000-0000-0000A40A0000}"/>
    <cellStyle name="T_KQTD_TDT_EtelDLBD_9-2006_Book1" xfId="2651" xr:uid="{00000000-0005-0000-0000-0000A50A0000}"/>
    <cellStyle name="T_Khao satD1" xfId="2638" xr:uid="{00000000-0005-0000-0000-0000A60A0000}"/>
    <cellStyle name="T_Khao satD1_Book1" xfId="2639" xr:uid="{00000000-0005-0000-0000-0000A70A0000}"/>
    <cellStyle name="T_Khao satD1_Du kien giai ngan cac du an den 30-6-16-OK" xfId="2640" xr:uid="{00000000-0005-0000-0000-0000A80A0000}"/>
    <cellStyle name="T_Khao satD1_Du kien giai ngan cac du an den 30-6-16-OK_Book1" xfId="2641" xr:uid="{00000000-0005-0000-0000-0000A90A0000}"/>
    <cellStyle name="T_Khoi luong cac hang muc chi tiet-702" xfId="2642" xr:uid="{00000000-0005-0000-0000-0000AA0A0000}"/>
    <cellStyle name="T_Khoi luong cac hang muc chi tiet-702 2" xfId="2897" xr:uid="{00000000-0005-0000-0000-0000AB0A0000}"/>
    <cellStyle name="T_Khu nha may 2" xfId="2643" xr:uid="{00000000-0005-0000-0000-0000AC0A0000}"/>
    <cellStyle name="T_Khu nha may 2_Book1" xfId="2644" xr:uid="{00000000-0005-0000-0000-0000AD0A0000}"/>
    <cellStyle name="T_Mau 2" xfId="2652" xr:uid="{00000000-0005-0000-0000-0000AE0A0000}"/>
    <cellStyle name="T_Mau 2_Book1" xfId="2653" xr:uid="{00000000-0005-0000-0000-0000AF0A0000}"/>
    <cellStyle name="T_Mau 2_MK-TK" xfId="2654" xr:uid="{00000000-0005-0000-0000-0000B00A0000}"/>
    <cellStyle name="T_Mau 2_MK-TK_Book1" xfId="2655" xr:uid="{00000000-0005-0000-0000-0000B10A0000}"/>
    <cellStyle name="T_MK-TK" xfId="2656" xr:uid="{00000000-0005-0000-0000-0000B20A0000}"/>
    <cellStyle name="T_MK-TK_Book1" xfId="2657" xr:uid="{00000000-0005-0000-0000-0000B30A0000}"/>
    <cellStyle name="T_Nang cap, MR HT chong set mang VT BDT KonTum GD 2003-2005_BCKT-NHNN-8-4-10 " xfId="2658" xr:uid="{00000000-0005-0000-0000-0000B40A0000}"/>
    <cellStyle name="T_Nang cap, MR HT chong set mang VT BDT KonTum GD 2003-2005_BCKT-NHNN-8-4-10 _Book1" xfId="2659" xr:uid="{00000000-0005-0000-0000-0000B50A0000}"/>
    <cellStyle name="T_Ninh binh Flyover (1)" xfId="2660" xr:uid="{00000000-0005-0000-0000-0000B60A0000}"/>
    <cellStyle name="T_Ninh binh Flyover (1)_Book1" xfId="2661" xr:uid="{00000000-0005-0000-0000-0000B70A0000}"/>
    <cellStyle name="T_PLTD2012" xfId="2663" xr:uid="{00000000-0005-0000-0000-0000B80A0000}"/>
    <cellStyle name="T_PLTD2012_Book1" xfId="2664" xr:uid="{00000000-0005-0000-0000-0000B90A0000}"/>
    <cellStyle name="T_PTT thong tin" xfId="2665" xr:uid="{00000000-0005-0000-0000-0000BA0A0000}"/>
    <cellStyle name="T_PTT thong tin_Book1" xfId="2666" xr:uid="{00000000-0005-0000-0000-0000BB0A0000}"/>
    <cellStyle name="T_PTT thong tin_Khu nha may 2" xfId="2667" xr:uid="{00000000-0005-0000-0000-0000BC0A0000}"/>
    <cellStyle name="T_PTT thong tin_Khu nha may 2_Book1" xfId="2668" xr:uid="{00000000-0005-0000-0000-0000BD0A0000}"/>
    <cellStyle name="T_PHIA BACxls" xfId="2662" xr:uid="{00000000-0005-0000-0000-0000BE0A0000}"/>
    <cellStyle name="T_PHIA BACxls 2" xfId="2899" xr:uid="{00000000-0005-0000-0000-0000BF0A0000}"/>
    <cellStyle name="T_QT KL Dien Ga ra ngam" xfId="2669" xr:uid="{00000000-0005-0000-0000-0000C00A0000}"/>
    <cellStyle name="T_QT KL Dien Ga ra ngam_Book1" xfId="2670" xr:uid="{00000000-0005-0000-0000-0000C10A0000}"/>
    <cellStyle name="T_TDToan Viettel trinh" xfId="2671" xr:uid="{00000000-0005-0000-0000-0000C20A0000}"/>
    <cellStyle name="T_TDToan Viettel trinh 2" xfId="2900" xr:uid="{00000000-0005-0000-0000-0000C30A0000}"/>
    <cellStyle name="T_tien2004" xfId="2681" xr:uid="{00000000-0005-0000-0000-0000C40A0000}"/>
    <cellStyle name="T_tien2004_Book1" xfId="2682" xr:uid="{00000000-0005-0000-0000-0000C50A0000}"/>
    <cellStyle name="T_tien2004_Du kien giai ngan cac du an den 30-6-16-OK" xfId="2683" xr:uid="{00000000-0005-0000-0000-0000C60A0000}"/>
    <cellStyle name="T_tien2004_Du kien giai ngan cac du an den 30-6-16-OK_Book1" xfId="2684" xr:uid="{00000000-0005-0000-0000-0000C70A0000}"/>
    <cellStyle name="T_tờ trinh-lan" xfId="2685" xr:uid="{00000000-0005-0000-0000-0000C80A0000}"/>
    <cellStyle name="T_tờ trinh-lan_Book1" xfId="2686" xr:uid="{00000000-0005-0000-0000-0000C90A0000}"/>
    <cellStyle name="T_TH DT QL1A - TRA BONG moi " xfId="2672" xr:uid="{00000000-0005-0000-0000-0000CA0A0000}"/>
    <cellStyle name="T_TH DT QL1A - TRA BONG moi  2" xfId="2901" xr:uid="{00000000-0005-0000-0000-0000CB0A0000}"/>
    <cellStyle name="T_thanh toan Nhon Binh - AVAn" xfId="2673" xr:uid="{00000000-0005-0000-0000-0000CC0A0000}"/>
    <cellStyle name="T_thanh toan Nhon Binh - AVAn_Book1" xfId="2674" xr:uid="{00000000-0005-0000-0000-0000CD0A0000}"/>
    <cellStyle name="T_THKLTL702" xfId="2675" xr:uid="{00000000-0005-0000-0000-0000CE0A0000}"/>
    <cellStyle name="T_THKLTL702 2" xfId="2902" xr:uid="{00000000-0005-0000-0000-0000CF0A0000}"/>
    <cellStyle name="T_THKP" xfId="2676" xr:uid="{00000000-0005-0000-0000-0000D00A0000}"/>
    <cellStyle name="T_THKP 2" xfId="2903" xr:uid="{00000000-0005-0000-0000-0000D10A0000}"/>
    <cellStyle name="T_Thong ke" xfId="2677" xr:uid="{00000000-0005-0000-0000-0000D20A0000}"/>
    <cellStyle name="T_Thong ke_Book1" xfId="2678" xr:uid="{00000000-0005-0000-0000-0000D30A0000}"/>
    <cellStyle name="T_Thong ke_Du kien giai ngan cac du an den 30-6-16-OK" xfId="2679" xr:uid="{00000000-0005-0000-0000-0000D40A0000}"/>
    <cellStyle name="T_Thong ke_Du kien giai ngan cac du an den 30-6-16-OK_Book1" xfId="2680" xr:uid="{00000000-0005-0000-0000-0000D50A0000}"/>
    <cellStyle name="T_TRAO Luong 2" xfId="2687" xr:uid="{00000000-0005-0000-0000-0000D60A0000}"/>
    <cellStyle name="T_TRAO Luong 2 2" xfId="2904" xr:uid="{00000000-0005-0000-0000-0000D70A0000}"/>
    <cellStyle name="T_Worksheet in D: ... Hoan thien 5goi theo KL cu 28-06 4.Cong 5goi Coc 33-Km1+490.13 Cong coc 33-km1+490.13" xfId="2688" xr:uid="{00000000-0005-0000-0000-0000D80A0000}"/>
    <cellStyle name="T_Worksheet in D: ... Hoan thien 5goi theo KL cu 28-06 4.Cong 5goi Coc 33-Km1+490.13 Cong coc 33-km1+490.13_Book1" xfId="2689" xr:uid="{00000000-0005-0000-0000-0000D90A0000}"/>
    <cellStyle name="T_ÿÿÿÿÿ" xfId="2690" xr:uid="{00000000-0005-0000-0000-0000DA0A0000}"/>
    <cellStyle name="T_ÿÿÿÿÿ_Book1" xfId="2691" xr:uid="{00000000-0005-0000-0000-0000DB0A0000}"/>
    <cellStyle name="Tan" xfId="2692" xr:uid="{00000000-0005-0000-0000-0000DC0A0000}"/>
    <cellStyle name="tde" xfId="2693" xr:uid="{00000000-0005-0000-0000-0000DD0A0000}"/>
    <cellStyle name="Tentruong" xfId="2694" xr:uid="{00000000-0005-0000-0000-0000DE0A0000}"/>
    <cellStyle name="Text Indent A" xfId="2695" xr:uid="{00000000-0005-0000-0000-0000DF0A0000}"/>
    <cellStyle name="Text Indent B" xfId="2696" xr:uid="{00000000-0005-0000-0000-0000E00A0000}"/>
    <cellStyle name="Text Indent C" xfId="2697" xr:uid="{00000000-0005-0000-0000-0000E10A0000}"/>
    <cellStyle name="Tiªu ®Ì" xfId="2715" xr:uid="{00000000-0005-0000-0000-0000E20A0000}"/>
    <cellStyle name="Tiêu đề" xfId="2716" xr:uid="{00000000-0005-0000-0000-0000E30A0000}"/>
    <cellStyle name="Times New Roman" xfId="2717" xr:uid="{00000000-0005-0000-0000-0000E40A0000}"/>
    <cellStyle name="Tính toán" xfId="2718" xr:uid="{00000000-0005-0000-0000-0000E50A0000}"/>
    <cellStyle name="TiÓu môc" xfId="2719" xr:uid="{00000000-0005-0000-0000-0000E60A0000}"/>
    <cellStyle name="tit1" xfId="2720" xr:uid="{00000000-0005-0000-0000-0000E70A0000}"/>
    <cellStyle name="tit2" xfId="2721" xr:uid="{00000000-0005-0000-0000-0000E80A0000}"/>
    <cellStyle name="tit3" xfId="2722" xr:uid="{00000000-0005-0000-0000-0000E90A0000}"/>
    <cellStyle name="tit4" xfId="2723" xr:uid="{00000000-0005-0000-0000-0000EA0A0000}"/>
    <cellStyle name="Title 2" xfId="2724" xr:uid="{00000000-0005-0000-0000-0000EB0A0000}"/>
    <cellStyle name="Title 2 2" xfId="2725" xr:uid="{00000000-0005-0000-0000-0000EC0A0000}"/>
    <cellStyle name="Title 3" xfId="2726" xr:uid="{00000000-0005-0000-0000-0000ED0A0000}"/>
    <cellStyle name="Tongcong" xfId="2728" xr:uid="{00000000-0005-0000-0000-0000EE0A0000}"/>
    <cellStyle name="Total 2" xfId="2730" xr:uid="{00000000-0005-0000-0000-0000EF0A0000}"/>
    <cellStyle name="Total 2 2" xfId="2731" xr:uid="{00000000-0005-0000-0000-0000F00A0000}"/>
    <cellStyle name="Total 2_Book1" xfId="2732" xr:uid="{00000000-0005-0000-0000-0000F10A0000}"/>
    <cellStyle name="Total 3" xfId="2733" xr:uid="{00000000-0005-0000-0000-0000F20A0000}"/>
    <cellStyle name="Tổng" xfId="2727" xr:uid="{00000000-0005-0000-0000-0000F30A0000}"/>
    <cellStyle name="Tốt" xfId="2729" xr:uid="{00000000-0005-0000-0000-0000F40A0000}"/>
    <cellStyle name="Tuan" xfId="2741" xr:uid="{00000000-0005-0000-0000-0000F50A0000}"/>
    <cellStyle name="Tusental (0)_pldt" xfId="2742" xr:uid="{00000000-0005-0000-0000-0000F60A0000}"/>
    <cellStyle name="Tusental_pldt" xfId="2743" xr:uid="{00000000-0005-0000-0000-0000F70A0000}"/>
    <cellStyle name="th" xfId="2698" xr:uid="{00000000-0005-0000-0000-0000F80A0000}"/>
    <cellStyle name="þ_Ke hoach thi cong " xfId="2699" xr:uid="{00000000-0005-0000-0000-0000F90A0000}"/>
    <cellStyle name="þ_Ke hoach thi cong _Book1" xfId="2700" xr:uid="{00000000-0005-0000-0000-0000FA0A0000}"/>
    <cellStyle name="th_MK-TK" xfId="2701" xr:uid="{00000000-0005-0000-0000-0000FB0A0000}"/>
    <cellStyle name="Thanh" xfId="2702" xr:uid="{00000000-0005-0000-0000-0000FC0A0000}"/>
    <cellStyle name="þ_x001d_ð¤_x000c_¯þ_x0014__x000d_¨þU_x0001_À_x0004_ _x0015__x000f__x0001__x0001_" xfId="2703" xr:uid="{00000000-0005-0000-0000-0000FD0A0000}"/>
    <cellStyle name="þ_x001d_ð¤_x000c_¯þ_x0014__x000d_¨þU_x0001_À_x0004_ _x0015__x000f__x0001__x0001_ 2" xfId="2905" xr:uid="{00000000-0005-0000-0000-0000FE0A0000}"/>
    <cellStyle name="þ_x001d_ð·_x000c_æþ'_x000d_ßþU_x0001_Ø_x0005_ü_x0014__x0007__x0001__x0001_" xfId="2704" xr:uid="{00000000-0005-0000-0000-0000FF0A0000}"/>
    <cellStyle name="þ_x001d_ð·_x000c_æþ'_x000d_ßþU_x0001_Ø_x0005_ü_x0014__Gia du thau  Truong KT-KT(Chot) " xfId="2705" xr:uid="{00000000-0005-0000-0000-0000000B0000}"/>
    <cellStyle name="þ_x001d_ð·_x000c_æþ'_x000d_ßþU_x0001_Ø_x0005_ü_x0014__x0007__x0001__Gia du thau  Truong KT-KT(Chot) " xfId="2706" xr:uid="{00000000-0005-0000-0000-0000010B0000}"/>
    <cellStyle name="þ_x001d_ð·_x000c_æþ'_x000d_ßþU_x0001_Ø_x0005_ü_x0014__Gia du thau  Truong KT-KT(Chot) _Book1" xfId="2707" xr:uid="{00000000-0005-0000-0000-0000020B0000}"/>
    <cellStyle name="þ_x001d_ð·_x000c_æþ'_x000d_ßþU_x0001_Ø_x0005_ü_x0014__x0007__x0001__Gia du thau  Truong KT-KT(Chot) _Book1" xfId="2708" xr:uid="{00000000-0005-0000-0000-0000030B0000}"/>
    <cellStyle name="þ_x001d_ð·_x000c_æþ'_x000d_ßþU_x0001_Ø_x0005_ü_x0014__Ke hoach thi cong " xfId="2709" xr:uid="{00000000-0005-0000-0000-0000040B0000}"/>
    <cellStyle name="þ_x001d_ðÇ%Uý—&amp;Hý9_x0008_Ÿ_x0009_s_x000a__x0007__x0001__x0001_" xfId="2710" xr:uid="{00000000-0005-0000-0000-0000050B0000}"/>
    <cellStyle name="þ_x001d_ðK_x000c_Fý_x001b__x000d_9ýU_x0001_Ð_x0008_¦)_x0007__x0001__x0001_" xfId="2711" xr:uid="{00000000-0005-0000-0000-0000060B0000}"/>
    <cellStyle name="thuong-10" xfId="2712" xr:uid="{00000000-0005-0000-0000-0000070B0000}"/>
    <cellStyle name="thuong-11" xfId="2713" xr:uid="{00000000-0005-0000-0000-0000080B0000}"/>
    <cellStyle name="Thuyet minh" xfId="2714" xr:uid="{00000000-0005-0000-0000-0000090B0000}"/>
    <cellStyle name="trang" xfId="2734" xr:uid="{00000000-0005-0000-0000-00000A0B0000}"/>
    <cellStyle name="Trang 1" xfId="2735" xr:uid="{00000000-0005-0000-0000-00000B0B0000}"/>
    <cellStyle name="trang_SU CO THANG 1" xfId="2736" xr:uid="{00000000-0005-0000-0000-00000C0B0000}"/>
    <cellStyle name="Trien1.000" xfId="2737" xr:uid="{00000000-0005-0000-0000-00000D0B0000}"/>
    <cellStyle name="Triendate" xfId="2738" xr:uid="{00000000-0005-0000-0000-00000E0B0000}"/>
    <cellStyle name="Trientime" xfId="2739" xr:uid="{00000000-0005-0000-0000-00000F0B0000}"/>
    <cellStyle name="Trung tính" xfId="2740" xr:uid="{00000000-0005-0000-0000-0000100B0000}"/>
    <cellStyle name="Valuta (0)_CALPREZZ" xfId="2744" xr:uid="{00000000-0005-0000-0000-0000110B0000}"/>
    <cellStyle name="Valuta_ PESO ELETTR." xfId="2745" xr:uid="{00000000-0005-0000-0000-0000120B0000}"/>
    <cellStyle name="Văn bản Cảnh báo" xfId="2746" xr:uid="{00000000-0005-0000-0000-0000130B0000}"/>
    <cellStyle name="Văn bản Giải thích" xfId="2747" xr:uid="{00000000-0005-0000-0000-0000140B0000}"/>
    <cellStyle name="Vidu1" xfId="2748" xr:uid="{00000000-0005-0000-0000-0000150B0000}"/>
    <cellStyle name="viet" xfId="2749" xr:uid="{00000000-0005-0000-0000-0000160B0000}"/>
    <cellStyle name="viet2" xfId="2750" xr:uid="{00000000-0005-0000-0000-0000170B0000}"/>
    <cellStyle name="VLB-GTKÕ" xfId="2751" xr:uid="{00000000-0005-0000-0000-0000180B0000}"/>
    <cellStyle name="VLB-GTKÕ 2" xfId="2906" xr:uid="{00000000-0005-0000-0000-0000190B0000}"/>
    <cellStyle name="VN new romanNormal" xfId="2752" xr:uid="{00000000-0005-0000-0000-00001A0B0000}"/>
    <cellStyle name="vn time 10" xfId="2753" xr:uid="{00000000-0005-0000-0000-00001B0B0000}"/>
    <cellStyle name="Vn Time 13" xfId="2754" xr:uid="{00000000-0005-0000-0000-00001C0B0000}"/>
    <cellStyle name="Vn Time 14" xfId="2755" xr:uid="{00000000-0005-0000-0000-00001D0B0000}"/>
    <cellStyle name="VN time new roman" xfId="2756" xr:uid="{00000000-0005-0000-0000-00001E0B0000}"/>
    <cellStyle name="vn_time" xfId="2757" xr:uid="{00000000-0005-0000-0000-00001F0B0000}"/>
    <cellStyle name="vnbo" xfId="2758" xr:uid="{00000000-0005-0000-0000-0000200B0000}"/>
    <cellStyle name="VNITIMES" xfId="2763" xr:uid="{00000000-0005-0000-0000-0000210B0000}"/>
    <cellStyle name="vntxt1" xfId="2764" xr:uid="{00000000-0005-0000-0000-0000220B0000}"/>
    <cellStyle name="vntxt2" xfId="2765" xr:uid="{00000000-0005-0000-0000-0000230B0000}"/>
    <cellStyle name="vnhead1" xfId="2759" xr:uid="{00000000-0005-0000-0000-0000240B0000}"/>
    <cellStyle name="vnhead2" xfId="2760" xr:uid="{00000000-0005-0000-0000-0000250B0000}"/>
    <cellStyle name="vnhead3" xfId="2761" xr:uid="{00000000-0005-0000-0000-0000260B0000}"/>
    <cellStyle name="vnhead4" xfId="2762" xr:uid="{00000000-0005-0000-0000-0000270B0000}"/>
    <cellStyle name="Währung [0]_22002151167317Diagrammanpower" xfId="2766" xr:uid="{00000000-0005-0000-0000-0000280B0000}"/>
    <cellStyle name="Währung_22002151167317Diagrammanpower" xfId="2767" xr:uid="{00000000-0005-0000-0000-0000290B0000}"/>
    <cellStyle name="Walutowy [0]_Invoices2001Slovakia" xfId="2768" xr:uid="{00000000-0005-0000-0000-00002A0B0000}"/>
    <cellStyle name="Walutowy_Invoices2001Slovakia" xfId="2769" xr:uid="{00000000-0005-0000-0000-00002B0B0000}"/>
    <cellStyle name="Warning Text 2" xfId="2770" xr:uid="{00000000-0005-0000-0000-00002C0B0000}"/>
    <cellStyle name="Warning Text 2 2" xfId="2771" xr:uid="{00000000-0005-0000-0000-00002D0B0000}"/>
    <cellStyle name="Warning Text 3" xfId="2772" xr:uid="{00000000-0005-0000-0000-00002E0B0000}"/>
    <cellStyle name="x" xfId="2773" xr:uid="{00000000-0005-0000-0000-00002F0B0000}"/>
    <cellStyle name="xan1" xfId="2774" xr:uid="{00000000-0005-0000-0000-0000300B0000}"/>
    <cellStyle name="Xấu" xfId="2775" xr:uid="{00000000-0005-0000-0000-0000310B0000}"/>
    <cellStyle name="xuan" xfId="2776" xr:uid="{00000000-0005-0000-0000-0000320B0000}"/>
    <cellStyle name="センター" xfId="2777" xr:uid="{00000000-0005-0000-0000-0000330B0000}"/>
    <cellStyle name="เครื่องหมายสกุลเงิน [0]_FTC_OFFER" xfId="2778" xr:uid="{00000000-0005-0000-0000-0000340B0000}"/>
    <cellStyle name="เครื่องหมายสกุลเงิน_FTC_OFFER" xfId="2779" xr:uid="{00000000-0005-0000-0000-0000350B0000}"/>
    <cellStyle name="ปกติ_FTC_OFFER" xfId="2780" xr:uid="{00000000-0005-0000-0000-0000360B0000}"/>
    <cellStyle name=" [0.00]_ Att. 1- Cover" xfId="2781" xr:uid="{00000000-0005-0000-0000-0000370B0000}"/>
    <cellStyle name="_ Att. 1- Cover" xfId="2782" xr:uid="{00000000-0005-0000-0000-0000380B0000}"/>
    <cellStyle name="?_ Att. 1- Cover" xfId="2783" xr:uid="{00000000-0005-0000-0000-0000390B0000}"/>
    <cellStyle name="똿뗦먛귟 [0.00]_PRODUCT DETAIL Q1" xfId="2784" xr:uid="{00000000-0005-0000-0000-00003A0B0000}"/>
    <cellStyle name="똿뗦먛귟_PRODUCT DETAIL Q1" xfId="2785" xr:uid="{00000000-0005-0000-0000-00003B0B0000}"/>
    <cellStyle name="믅됞 [0.00]_PRODUCT DETAIL Q1" xfId="2786" xr:uid="{00000000-0005-0000-0000-00003C0B0000}"/>
    <cellStyle name="믅됞_PRODUCT DETAIL Q1" xfId="2787" xr:uid="{00000000-0005-0000-0000-00003D0B0000}"/>
    <cellStyle name="백분율_††††† " xfId="2788" xr:uid="{00000000-0005-0000-0000-00003E0B0000}"/>
    <cellStyle name="뷭?_BOOKSHIP" xfId="2789" xr:uid="{00000000-0005-0000-0000-00003F0B0000}"/>
    <cellStyle name="안건회계법인" xfId="2790" xr:uid="{00000000-0005-0000-0000-0000400B0000}"/>
    <cellStyle name="콤마 [ - 유형1" xfId="2791" xr:uid="{00000000-0005-0000-0000-0000410B0000}"/>
    <cellStyle name="콤마 [ - 유형2" xfId="2792" xr:uid="{00000000-0005-0000-0000-0000420B0000}"/>
    <cellStyle name="콤마 [ - 유형3" xfId="2793" xr:uid="{00000000-0005-0000-0000-0000430B0000}"/>
    <cellStyle name="콤마 [ - 유형4" xfId="2794" xr:uid="{00000000-0005-0000-0000-0000440B0000}"/>
    <cellStyle name="콤마 [ - 유형5" xfId="2795" xr:uid="{00000000-0005-0000-0000-0000450B0000}"/>
    <cellStyle name="콤마 [ - 유형6" xfId="2796" xr:uid="{00000000-0005-0000-0000-0000460B0000}"/>
    <cellStyle name="콤마 [ - 유형7" xfId="2797" xr:uid="{00000000-0005-0000-0000-0000470B0000}"/>
    <cellStyle name="콤마 [ - 유형8" xfId="2798" xr:uid="{00000000-0005-0000-0000-0000480B0000}"/>
    <cellStyle name="콤마 [0]_ 비목별 월별기술 " xfId="2799" xr:uid="{00000000-0005-0000-0000-0000490B0000}"/>
    <cellStyle name="콤마_ 비목별 월별기술 " xfId="2800" xr:uid="{00000000-0005-0000-0000-00004A0B0000}"/>
    <cellStyle name="통화 [0]_††††† " xfId="2801" xr:uid="{00000000-0005-0000-0000-00004B0B0000}"/>
    <cellStyle name="통화_††††† " xfId="2802" xr:uid="{00000000-0005-0000-0000-00004C0B0000}"/>
    <cellStyle name="표준_ 97년 경영분석(안)" xfId="2803" xr:uid="{00000000-0005-0000-0000-00004D0B0000}"/>
    <cellStyle name="一般_00Q3902REV.1" xfId="2804" xr:uid="{00000000-0005-0000-0000-00004E0B0000}"/>
    <cellStyle name="不要処理" xfId="2805" xr:uid="{00000000-0005-0000-0000-00004F0B0000}"/>
    <cellStyle name="千分位[0]_00Q3902REV.1" xfId="2806" xr:uid="{00000000-0005-0000-0000-0000500B0000}"/>
    <cellStyle name="千分位_00Q3902REV.1" xfId="2807" xr:uid="{00000000-0005-0000-0000-0000510B0000}"/>
    <cellStyle name="帳票" xfId="2808" xr:uid="{00000000-0005-0000-0000-0000520B0000}"/>
    <cellStyle name="常规_For Hanoi Configuration" xfId="2809" xr:uid="{00000000-0005-0000-0000-0000530B0000}"/>
    <cellStyle name="桁?切? [0.00]_pldt" xfId="2810" xr:uid="{00000000-0005-0000-0000-0000540B0000}"/>
    <cellStyle name="桁?切?_pldt" xfId="2811" xr:uid="{00000000-0005-0000-0000-0000550B0000}"/>
    <cellStyle name="桁区切り [0.00]_††††† " xfId="2812" xr:uid="{00000000-0005-0000-0000-0000560B0000}"/>
    <cellStyle name="桁区切り_††††† " xfId="2813" xr:uid="{00000000-0005-0000-0000-0000570B0000}"/>
    <cellStyle name="標?_外?Ａ最終" xfId="2814" xr:uid="{00000000-0005-0000-0000-0000580B0000}"/>
    <cellStyle name="標準_(A1)BOQ " xfId="2815" xr:uid="{00000000-0005-0000-0000-0000590B0000}"/>
    <cellStyle name="標準8" xfId="2816" xr:uid="{00000000-0005-0000-0000-00005A0B0000}"/>
    <cellStyle name="貨幣 [0]_00Q3902REV.1" xfId="2817" xr:uid="{00000000-0005-0000-0000-00005B0B0000}"/>
    <cellStyle name="貨幣[0]_06生管" xfId="2818" xr:uid="{00000000-0005-0000-0000-00005C0B0000}"/>
    <cellStyle name="貨幣_00Q3902REV.1" xfId="2819" xr:uid="{00000000-0005-0000-0000-00005D0B0000}"/>
    <cellStyle name="通貨 [0.00]_††††† " xfId="2820" xr:uid="{00000000-0005-0000-0000-00005E0B0000}"/>
    <cellStyle name="通貨_††††† " xfId="2821" xr:uid="{00000000-0005-0000-0000-00005F0B0000}"/>
    <cellStyle name="非表示" xfId="2822" xr:uid="{00000000-0005-0000-0000-0000600B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247" Type="http://schemas.openxmlformats.org/officeDocument/2006/relationships/worksheet" Target="worksheets/sheet247.xml"/><Relationship Id="rId107" Type="http://schemas.openxmlformats.org/officeDocument/2006/relationships/worksheet" Target="worksheets/sheet107.xml"/><Relationship Id="rId268"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37" Type="http://schemas.openxmlformats.org/officeDocument/2006/relationships/worksheet" Target="worksheets/sheet237.xml"/><Relationship Id="rId258" Type="http://schemas.openxmlformats.org/officeDocument/2006/relationships/worksheet" Target="worksheets/sheet258.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248" Type="http://schemas.openxmlformats.org/officeDocument/2006/relationships/worksheet" Target="worksheets/sheet248.xml"/><Relationship Id="rId269" Type="http://schemas.openxmlformats.org/officeDocument/2006/relationships/calcChain" Target="calcChain.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8" Type="http://schemas.openxmlformats.org/officeDocument/2006/relationships/worksheet" Target="worksheets/sheet238.xml"/><Relationship Id="rId259" Type="http://schemas.openxmlformats.org/officeDocument/2006/relationships/worksheet" Target="worksheets/sheet259.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172" Type="http://schemas.openxmlformats.org/officeDocument/2006/relationships/worksheet" Target="worksheets/sheet172.xml"/><Relationship Id="rId193" Type="http://schemas.openxmlformats.org/officeDocument/2006/relationships/worksheet" Target="worksheets/sheet193.xml"/><Relationship Id="rId202" Type="http://schemas.openxmlformats.org/officeDocument/2006/relationships/worksheet" Target="worksheets/sheet202.xml"/><Relationship Id="rId207" Type="http://schemas.openxmlformats.org/officeDocument/2006/relationships/worksheet" Target="worksheets/sheet207.xml"/><Relationship Id="rId223" Type="http://schemas.openxmlformats.org/officeDocument/2006/relationships/worksheet" Target="worksheets/sheet223.xml"/><Relationship Id="rId228" Type="http://schemas.openxmlformats.org/officeDocument/2006/relationships/worksheet" Target="worksheets/sheet228.xml"/><Relationship Id="rId244" Type="http://schemas.openxmlformats.org/officeDocument/2006/relationships/worksheet" Target="worksheets/sheet244.xml"/><Relationship Id="rId249" Type="http://schemas.openxmlformats.org/officeDocument/2006/relationships/worksheet" Target="worksheets/sheet24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260" Type="http://schemas.openxmlformats.org/officeDocument/2006/relationships/worksheet" Target="worksheets/sheet260.xml"/><Relationship Id="rId265" Type="http://schemas.openxmlformats.org/officeDocument/2006/relationships/externalLink" Target="externalLinks/externalLink3.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13" Type="http://schemas.openxmlformats.org/officeDocument/2006/relationships/worksheet" Target="worksheets/sheet213.xml"/><Relationship Id="rId218" Type="http://schemas.openxmlformats.org/officeDocument/2006/relationships/worksheet" Target="worksheets/sheet218.xml"/><Relationship Id="rId234" Type="http://schemas.openxmlformats.org/officeDocument/2006/relationships/worksheet" Target="worksheets/sheet234.xml"/><Relationship Id="rId239" Type="http://schemas.openxmlformats.org/officeDocument/2006/relationships/worksheet" Target="worksheets/sheet239.xml"/><Relationship Id="rId2" Type="http://schemas.openxmlformats.org/officeDocument/2006/relationships/worksheet" Target="worksheets/sheet2.xml"/><Relationship Id="rId29" Type="http://schemas.openxmlformats.org/officeDocument/2006/relationships/worksheet" Target="worksheets/sheet29.xml"/><Relationship Id="rId250" Type="http://schemas.openxmlformats.org/officeDocument/2006/relationships/worksheet" Target="worksheets/sheet250.xml"/><Relationship Id="rId255" Type="http://schemas.openxmlformats.org/officeDocument/2006/relationships/worksheet" Target="worksheets/sheet255.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worksheet" Target="worksheets/sheet208.xml"/><Relationship Id="rId229" Type="http://schemas.openxmlformats.org/officeDocument/2006/relationships/worksheet" Target="worksheets/sheet229.xml"/><Relationship Id="rId19" Type="http://schemas.openxmlformats.org/officeDocument/2006/relationships/worksheet" Target="worksheets/sheet19.xml"/><Relationship Id="rId224" Type="http://schemas.openxmlformats.org/officeDocument/2006/relationships/worksheet" Target="worksheets/sheet224.xml"/><Relationship Id="rId240" Type="http://schemas.openxmlformats.org/officeDocument/2006/relationships/worksheet" Target="worksheets/sheet240.xml"/><Relationship Id="rId245" Type="http://schemas.openxmlformats.org/officeDocument/2006/relationships/worksheet" Target="worksheets/sheet245.xml"/><Relationship Id="rId261" Type="http://schemas.openxmlformats.org/officeDocument/2006/relationships/worksheet" Target="worksheets/sheet261.xml"/><Relationship Id="rId266" Type="http://schemas.openxmlformats.org/officeDocument/2006/relationships/theme" Target="theme/theme1.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30" Type="http://schemas.openxmlformats.org/officeDocument/2006/relationships/worksheet" Target="worksheets/sheet230.xml"/><Relationship Id="rId235" Type="http://schemas.openxmlformats.org/officeDocument/2006/relationships/worksheet" Target="worksheets/sheet235.xml"/><Relationship Id="rId251" Type="http://schemas.openxmlformats.org/officeDocument/2006/relationships/worksheet" Target="worksheets/sheet251.xml"/><Relationship Id="rId256" Type="http://schemas.openxmlformats.org/officeDocument/2006/relationships/worksheet" Target="worksheets/sheet256.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241" Type="http://schemas.openxmlformats.org/officeDocument/2006/relationships/worksheet" Target="worksheets/sheet241.xml"/><Relationship Id="rId246" Type="http://schemas.openxmlformats.org/officeDocument/2006/relationships/worksheet" Target="worksheets/sheet246.xml"/><Relationship Id="rId267"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262" Type="http://schemas.openxmlformats.org/officeDocument/2006/relationships/worksheet" Target="worksheets/sheet26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externalLink" Target="externalLinks/externalLink1.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externalLink" Target="externalLinks/externalLink2.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s>
</file>

<file path=xl/drawings/drawing1.xml><?xml version="1.0" encoding="utf-8"?>
<xdr:wsDr xmlns:xdr="http://schemas.openxmlformats.org/drawingml/2006/spreadsheetDrawing" xmlns:a="http://schemas.openxmlformats.org/drawingml/2006/main">
  <xdr:twoCellAnchor>
    <xdr:from>
      <xdr:col>6</xdr:col>
      <xdr:colOff>1926120</xdr:colOff>
      <xdr:row>1</xdr:row>
      <xdr:rowOff>291548</xdr:rowOff>
    </xdr:from>
    <xdr:to>
      <xdr:col>7</xdr:col>
      <xdr:colOff>634447</xdr:colOff>
      <xdr:row>1</xdr:row>
      <xdr:rowOff>291548</xdr:rowOff>
    </xdr:to>
    <xdr:sp macro="" textlink="">
      <xdr:nvSpPr>
        <xdr:cNvPr id="98305" name="Line 50">
          <a:extLst>
            <a:ext uri="{FF2B5EF4-FFF2-40B4-BE49-F238E27FC236}">
              <a16:creationId xmlns:a16="http://schemas.microsoft.com/office/drawing/2014/main" id="{ECA41691-66E3-575D-121E-E19349FFC016}"/>
            </a:ext>
          </a:extLst>
        </xdr:cNvPr>
        <xdr:cNvSpPr>
          <a:spLocks noChangeShapeType="1"/>
        </xdr:cNvSpPr>
      </xdr:nvSpPr>
      <xdr:spPr bwMode="auto">
        <a:xfrm>
          <a:off x="7541729" y="531744"/>
          <a:ext cx="156582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U%20LIEU%20MAY%20VINH\Vinh\1%20Vinh%202021\SuNghiepGT%202021\DT626\DT626%20SNGT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U%20LIEU%20MAY%20VINH\Vinh\2%20Vinh%202020\von%20bao%20tri2020\TQG\DToan%20TQG%20-sua%20ok%20td%20cuoi%20cu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Downloads\Tong%20hop%20xi%20mang%202022%20du%20toan%20theo%20gia%20Tuan%20Hu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LKS"/>
      <sheetName val="foxz"/>
      <sheetName val="foxz_2"/>
      <sheetName val="foxz_3"/>
      <sheetName val="foxz_4"/>
      <sheetName val="foxz_5"/>
      <sheetName val="foxz_6"/>
      <sheetName val="foxz_7"/>
      <sheetName val="foxz_8"/>
      <sheetName val="foxz_9"/>
      <sheetName val="foxz_10"/>
      <sheetName val="foxz_11"/>
      <sheetName val="foxz_12"/>
      <sheetName val="foxz_13"/>
      <sheetName val="foxz_14"/>
      <sheetName val="foxz_15"/>
      <sheetName val="foxz_16"/>
      <sheetName val="HS"/>
      <sheetName val="foxz_17"/>
      <sheetName val="foxz_18"/>
      <sheetName val="foxz_19"/>
      <sheetName val="TongDT"/>
      <sheetName val="XLGT"/>
      <sheetName val="Khaosat"/>
      <sheetName val="PT giaKS"/>
      <sheetName val="NC,M KS"/>
      <sheetName val="Du toan chi tiet"/>
      <sheetName val="Phan tich don gia"/>
      <sheetName val="Gia NC,CM"/>
      <sheetName val="May-TT11"/>
      <sheetName val="Gia VL"/>
      <sheetName val="VC"/>
      <sheetName val="SSVL"/>
      <sheetName val="Docso"/>
      <sheetName val="foxz_20"/>
      <sheetName val="foxz_21"/>
      <sheetName val="foxz_22"/>
      <sheetName val="foxz_23"/>
      <sheetName val="foxz_24"/>
      <sheetName val="foxz_25"/>
      <sheetName val="foxz_26"/>
      <sheetName val="foxz_27"/>
      <sheetName val="foxz_28"/>
      <sheetName val="foxz_29"/>
      <sheetName val="foxz_30"/>
      <sheetName val="foxz_31"/>
      <sheetName val="foxz_32"/>
      <sheetName val="foxz_33"/>
      <sheetName val="foxz_34"/>
      <sheetName val="foxz_35"/>
      <sheetName val="foxz_36"/>
      <sheetName val="foxz_37"/>
      <sheetName val="foxz_38"/>
      <sheetName val="foxz_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I2">
            <v>11</v>
          </cell>
        </row>
      </sheetData>
      <sheetData sheetId="20">
        <row r="2">
          <cell r="I2">
            <v>11</v>
          </cell>
        </row>
      </sheetData>
      <sheetData sheetId="21">
        <row r="2">
          <cell r="I2">
            <v>11</v>
          </cell>
        </row>
        <row r="6">
          <cell r="H6">
            <v>10049479000</v>
          </cell>
        </row>
      </sheetData>
      <sheetData sheetId="22">
        <row r="2">
          <cell r="I2">
            <v>11</v>
          </cell>
        </row>
      </sheetData>
      <sheetData sheetId="23">
        <row r="2">
          <cell r="K2">
            <v>1</v>
          </cell>
        </row>
      </sheetData>
      <sheetData sheetId="24">
        <row r="2">
          <cell r="K2">
            <v>1</v>
          </cell>
          <cell r="L2">
            <v>1</v>
          </cell>
          <cell r="M2">
            <v>1</v>
          </cell>
          <cell r="N2">
            <v>0.7</v>
          </cell>
          <cell r="O2">
            <v>0.06</v>
          </cell>
          <cell r="Q2">
            <v>0.03</v>
          </cell>
          <cell r="R2">
            <v>4.2999999999999997E-2</v>
          </cell>
        </row>
      </sheetData>
      <sheetData sheetId="25">
        <row r="2">
          <cell r="K2">
            <v>1</v>
          </cell>
        </row>
      </sheetData>
      <sheetData sheetId="26"/>
      <sheetData sheetId="27"/>
      <sheetData sheetId="28"/>
      <sheetData sheetId="29"/>
      <sheetData sheetId="30"/>
      <sheetData sheetId="31"/>
      <sheetData sheetId="32"/>
      <sheetData sheetId="33"/>
      <sheetData sheetId="34">
        <row r="2">
          <cell r="I2">
            <v>11</v>
          </cell>
        </row>
      </sheetData>
      <sheetData sheetId="35" refreshError="1"/>
      <sheetData sheetId="36" refreshError="1"/>
      <sheetData sheetId="37">
        <row r="2">
          <cell r="K2">
            <v>1</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C,M KS"/>
      <sheetName val="VLKS"/>
      <sheetName val="HS"/>
      <sheetName val="foxz"/>
      <sheetName val="TongDT"/>
      <sheetName val="Khaosat"/>
      <sheetName val="PT giaKS"/>
      <sheetName val="XL"/>
      <sheetName val="Du toan chi tiet"/>
      <sheetName val="Phan tich don gia"/>
      <sheetName val="Gia NC,CM"/>
      <sheetName val="Gia VL"/>
      <sheetName val="VC"/>
      <sheetName val="May-TT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
      <sheetName val="Tổng hợp"/>
      <sheetName val="Sheet1"/>
    </sheetNames>
    <sheetDataSet>
      <sheetData sheetId="0" refreshError="1"/>
      <sheetData sheetId="1" refreshError="1">
        <row r="5">
          <cell r="A5" t="str">
            <v>TT</v>
          </cell>
          <cell r="B5" t="str">
            <v>Tên xã</v>
          </cell>
        </row>
        <row r="6">
          <cell r="B6" t="str">
            <v>Tổng cộng</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24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24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5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5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25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25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26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356CA-4AE1-4C53-ADCA-EC177574C43D}">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DE0E7-CA1C-4DAF-B297-76F6D107CD03}">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C3444-935D-4D7B-9695-A5BCE819CBB5}">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C570-5750-40DB-8452-958831365629}">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FF9E9-3763-446B-BE0A-7D2E19A1FBA7}">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86B3B-BFB6-4047-AC69-3FD17C2000F2}">
  <dimension ref="A1"/>
  <sheetViews>
    <sheetView workbookViewId="0"/>
  </sheetViews>
  <sheetFormatPr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FEFA1-4D66-4BF0-969B-EC5DFFF7B7C4}">
  <dimension ref="A1"/>
  <sheetViews>
    <sheetView workbookViewId="0"/>
  </sheetViews>
  <sheetFormatPr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8C888-AE39-4B74-B44E-98E8547CF852}">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D2FB6-9DDD-4D1C-862B-CB38EDF9D9DE}">
  <dimension ref="A1"/>
  <sheetViews>
    <sheetView workbookViewId="0"/>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816D9-F513-468D-9450-1C7AB6B9E429}">
  <dimension ref="A1"/>
  <sheetViews>
    <sheetView workbookViewId="0"/>
  </sheetViews>
  <sheetFormatPr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17B10-9EA7-416F-A687-BD237B9478C5}">
  <dimension ref="A1"/>
  <sheetViews>
    <sheetView workbookViewId="0"/>
  </sheetViews>
  <sheetFormatPr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E814C-2B7F-4A49-94BF-0562E9709257}">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C94F8-C99B-4278-98B3-D2827CA00EE4}">
  <dimension ref="A1"/>
  <sheetViews>
    <sheetView workbookViewId="0"/>
  </sheetViews>
  <sheetFormatPr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F5A14-08E6-49E2-985F-7982A51473B5}">
  <dimension ref="A1"/>
  <sheetViews>
    <sheetView workbookViewId="0"/>
  </sheetViews>
  <sheetFormatPr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9E25F-9B11-4FB1-A756-8D7C8E26E707}">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1338C-E106-4935-8744-EDE94579BE3E}">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810E9-1CBA-4106-A0F3-0577C14E605A}">
  <dimension ref="A1"/>
  <sheetViews>
    <sheetView workbookViewId="0"/>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93E34-BD74-4CC5-B327-8B3B198BE62F}">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8738E-113B-4D91-9B79-DB0D5591B05C}">
  <dimension ref="A1"/>
  <sheetViews>
    <sheetView workbookViewId="0"/>
  </sheetViews>
  <sheetFormatPr defaultRowHeight="1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C75EC-C26A-4FE7-B22E-4D866A53BBA9}">
  <dimension ref="A1"/>
  <sheetViews>
    <sheetView workbookViewId="0"/>
  </sheetViews>
  <sheetFormatPr defaultRowHeight="1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75389-4869-47BF-A5FB-68E67426F17B}">
  <dimension ref="A1"/>
  <sheetViews>
    <sheetView workbookViewId="0"/>
  </sheetViews>
  <sheetFormatPr defaultRowHeight="1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DA39C-AF2E-48DE-8A45-95129332593C}">
  <dimension ref="A1"/>
  <sheetViews>
    <sheetView workbookViewId="0"/>
  </sheetViews>
  <sheetFormatPr defaultRowHeight="1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80F2-FE9F-4DA4-A450-DE9D6A2695F7}">
  <dimension ref="A1"/>
  <sheetViews>
    <sheetView workbookViewId="0"/>
  </sheetViews>
  <sheetFormatPr defaultRowHeight="1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94072-7898-4271-A92D-139738DAD66A}">
  <dimension ref="A1"/>
  <sheetViews>
    <sheetView workbookViewId="0"/>
  </sheetViews>
  <sheetFormatPr defaultRowHeight="1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4A393-FFD3-43D9-8A0D-A513B59EBA76}">
  <dimension ref="A1"/>
  <sheetViews>
    <sheetView workbookViewId="0"/>
  </sheetViews>
  <sheetFormatPr defaultRowHeight="1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7F355-B349-405A-B8A1-DB542938ADB9}">
  <dimension ref="A1"/>
  <sheetViews>
    <sheetView workbookViewId="0"/>
  </sheetViews>
  <sheetFormatPr defaultRowHeight="1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99C9B-DAC7-4D07-9F4C-5B77D30BBD2F}">
  <dimension ref="A1"/>
  <sheetViews>
    <sheetView workbookViewId="0"/>
  </sheetViews>
  <sheetFormatPr defaultRowHeight="1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EA15D-6919-4B39-A564-18EB446761B9}">
  <dimension ref="A1"/>
  <sheetViews>
    <sheetView workbookViewId="0"/>
  </sheetViews>
  <sheetFormatPr defaultRowHeight="1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47DC8-5495-4B08-9CD0-D91268EC4955}">
  <dimension ref="A1"/>
  <sheetViews>
    <sheetView workbookViewId="0"/>
  </sheetViews>
  <sheetFormatPr defaultRowHeight="1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CAAAD-B093-4F14-8EBF-D88BF25A3D5E}">
  <dimension ref="A1"/>
  <sheetViews>
    <sheetView workbookViewId="0"/>
  </sheetViews>
  <sheetFormatPr defaultRowHeight="1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70533-F5F3-4E48-B934-A965DD1DB01A}">
  <dimension ref="A1"/>
  <sheetViews>
    <sheetView workbookViewId="0"/>
  </sheetViews>
  <sheetFormatPr defaultRowHeight="1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E4E31-7E9D-4EDD-BB38-E592F6E6E96F}">
  <dimension ref="A1"/>
  <sheetViews>
    <sheetView workbookViewId="0"/>
  </sheetViews>
  <sheetFormatPr defaultRowHeight="1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D400D-F880-4B64-908D-023C62B87C19}">
  <dimension ref="A1"/>
  <sheetViews>
    <sheetView workbookViewId="0"/>
  </sheetViews>
  <sheetFormatPr defaultRowHeight="1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C3F5E-3F20-41AA-8625-FECBE3661FD9}">
  <dimension ref="A1"/>
  <sheetViews>
    <sheetView workbookViewId="0"/>
  </sheetViews>
  <sheetFormatPr defaultRowHeight="1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97DCD-FC8F-4B30-82BB-E964A7F771E1}">
  <dimension ref="A1"/>
  <sheetViews>
    <sheetView workbookViewId="0"/>
  </sheetViews>
  <sheetFormatPr defaultRowHeight="1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D7DD8-CF24-4BDD-A465-B3F5AD69FA9F}">
  <dimension ref="A1"/>
  <sheetViews>
    <sheetView workbookViewId="0"/>
  </sheetViews>
  <sheetFormatPr defaultRowHeight="1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E6CBE-554E-466D-B1E2-49859A7B4166}">
  <dimension ref="A1"/>
  <sheetViews>
    <sheetView workbookViewId="0"/>
  </sheetViews>
  <sheetFormatPr defaultRowHeight="1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8278C-A68D-4433-9E23-41099C1B9368}">
  <dimension ref="A1"/>
  <sheetViews>
    <sheetView workbookViewId="0"/>
  </sheetViews>
  <sheetFormatPr defaultRowHeight="15"/>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ABFD9-3385-4ACF-999C-BAD6F96C9BC6}">
  <dimension ref="A1"/>
  <sheetViews>
    <sheetView workbookViewId="0"/>
  </sheetViews>
  <sheetFormatPr defaultRowHeight="1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8CFC3-835B-482C-BE0F-FC3BFC975B22}">
  <dimension ref="A1"/>
  <sheetViews>
    <sheetView workbookViewId="0"/>
  </sheetViews>
  <sheetFormatPr defaultRowHeight="15"/>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E6B35-835D-4FD2-BA38-00DE089B5D98}">
  <dimension ref="A1"/>
  <sheetViews>
    <sheetView workbookViewId="0"/>
  </sheetViews>
  <sheetFormatPr defaultRowHeight="1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B41B5-67E6-4394-AF5D-7ADC70025647}">
  <dimension ref="A1"/>
  <sheetViews>
    <sheetView workbookViewId="0"/>
  </sheetViews>
  <sheetFormatPr defaultRowHeight="1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629ED-E4CD-4466-B4D6-FD9BF4C0490A}">
  <dimension ref="A1"/>
  <sheetViews>
    <sheetView workbookViewId="0"/>
  </sheetViews>
  <sheetFormatPr defaultRowHeight="1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D66D1-DAFF-439D-98AB-003F58B7C0B6}">
  <dimension ref="A1"/>
  <sheetViews>
    <sheetView workbookViewId="0"/>
  </sheetViews>
  <sheetFormatPr defaultRowHeight="15"/>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40AF4-842E-4622-954E-8CAE62C0B05A}">
  <dimension ref="A1"/>
  <sheetViews>
    <sheetView workbookViewId="0"/>
  </sheetViews>
  <sheetFormatPr defaultRowHeight="1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150D5-C6BD-4686-853C-BF0E6FF670D5}">
  <dimension ref="A1"/>
  <sheetViews>
    <sheetView workbookViewId="0"/>
  </sheetViews>
  <sheetFormatPr defaultRowHeight="1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EDDCB-53B1-4705-9917-2B0732F7F641}">
  <dimension ref="H14:U29"/>
  <sheetViews>
    <sheetView topLeftCell="I8" workbookViewId="0">
      <selection activeCell="K18" sqref="K18"/>
    </sheetView>
  </sheetViews>
  <sheetFormatPr defaultColWidth="8" defaultRowHeight="15"/>
  <cols>
    <col min="1" max="1" width="23.625" style="286" customWidth="1"/>
    <col min="2" max="2" width="11.375" style="286" customWidth="1"/>
    <col min="3" max="3" width="11.125" style="286" customWidth="1"/>
    <col min="4" max="4" width="10" style="286" customWidth="1"/>
    <col min="5" max="5" width="19" style="286" customWidth="1"/>
    <col min="6" max="6" width="13" style="286" customWidth="1"/>
    <col min="7" max="7" width="10.875" style="286" customWidth="1"/>
    <col min="8" max="8" width="14.625" style="286" customWidth="1"/>
    <col min="9" max="9" width="11.625" style="286" customWidth="1"/>
    <col min="10" max="10" width="12" style="286" customWidth="1"/>
    <col min="11" max="11" width="23.875" style="286" bestFit="1" customWidth="1"/>
    <col min="12" max="12" width="11" style="286" customWidth="1"/>
    <col min="13" max="16" width="8" style="286" customWidth="1"/>
    <col min="17" max="17" width="8.875" style="286" bestFit="1" customWidth="1"/>
    <col min="18" max="18" width="14.25" style="286" customWidth="1"/>
    <col min="19" max="19" width="11.875" style="286" customWidth="1"/>
    <col min="20" max="256" width="8" style="286"/>
    <col min="257" max="257" width="23.625" style="286" customWidth="1"/>
    <col min="258" max="258" width="11.375" style="286" customWidth="1"/>
    <col min="259" max="259" width="11.125" style="286" customWidth="1"/>
    <col min="260" max="260" width="10" style="286" customWidth="1"/>
    <col min="261" max="261" width="19" style="286" customWidth="1"/>
    <col min="262" max="262" width="13" style="286" customWidth="1"/>
    <col min="263" max="263" width="10.875" style="286" customWidth="1"/>
    <col min="264" max="264" width="14.625" style="286" customWidth="1"/>
    <col min="265" max="265" width="11.625" style="286" customWidth="1"/>
    <col min="266" max="266" width="12" style="286" customWidth="1"/>
    <col min="267" max="267" width="23.875" style="286" bestFit="1" customWidth="1"/>
    <col min="268" max="268" width="11" style="286" customWidth="1"/>
    <col min="269" max="272" width="8" style="286" customWidth="1"/>
    <col min="273" max="273" width="8.875" style="286" bestFit="1" customWidth="1"/>
    <col min="274" max="274" width="14.25" style="286" customWidth="1"/>
    <col min="275" max="275" width="11.875" style="286" customWidth="1"/>
    <col min="276" max="512" width="8" style="286"/>
    <col min="513" max="513" width="23.625" style="286" customWidth="1"/>
    <col min="514" max="514" width="11.375" style="286" customWidth="1"/>
    <col min="515" max="515" width="11.125" style="286" customWidth="1"/>
    <col min="516" max="516" width="10" style="286" customWidth="1"/>
    <col min="517" max="517" width="19" style="286" customWidth="1"/>
    <col min="518" max="518" width="13" style="286" customWidth="1"/>
    <col min="519" max="519" width="10.875" style="286" customWidth="1"/>
    <col min="520" max="520" width="14.625" style="286" customWidth="1"/>
    <col min="521" max="521" width="11.625" style="286" customWidth="1"/>
    <col min="522" max="522" width="12" style="286" customWidth="1"/>
    <col min="523" max="523" width="23.875" style="286" bestFit="1" customWidth="1"/>
    <col min="524" max="524" width="11" style="286" customWidth="1"/>
    <col min="525" max="528" width="8" style="286" customWidth="1"/>
    <col min="529" max="529" width="8.875" style="286" bestFit="1" customWidth="1"/>
    <col min="530" max="530" width="14.25" style="286" customWidth="1"/>
    <col min="531" max="531" width="11.875" style="286" customWidth="1"/>
    <col min="532" max="768" width="8" style="286"/>
    <col min="769" max="769" width="23.625" style="286" customWidth="1"/>
    <col min="770" max="770" width="11.375" style="286" customWidth="1"/>
    <col min="771" max="771" width="11.125" style="286" customWidth="1"/>
    <col min="772" max="772" width="10" style="286" customWidth="1"/>
    <col min="773" max="773" width="19" style="286" customWidth="1"/>
    <col min="774" max="774" width="13" style="286" customWidth="1"/>
    <col min="775" max="775" width="10.875" style="286" customWidth="1"/>
    <col min="776" max="776" width="14.625" style="286" customWidth="1"/>
    <col min="777" max="777" width="11.625" style="286" customWidth="1"/>
    <col min="778" max="778" width="12" style="286" customWidth="1"/>
    <col min="779" max="779" width="23.875" style="286" bestFit="1" customWidth="1"/>
    <col min="780" max="780" width="11" style="286" customWidth="1"/>
    <col min="781" max="784" width="8" style="286" customWidth="1"/>
    <col min="785" max="785" width="8.875" style="286" bestFit="1" customWidth="1"/>
    <col min="786" max="786" width="14.25" style="286" customWidth="1"/>
    <col min="787" max="787" width="11.875" style="286" customWidth="1"/>
    <col min="788" max="1024" width="8" style="286"/>
    <col min="1025" max="1025" width="23.625" style="286" customWidth="1"/>
    <col min="1026" max="1026" width="11.375" style="286" customWidth="1"/>
    <col min="1027" max="1027" width="11.125" style="286" customWidth="1"/>
    <col min="1028" max="1028" width="10" style="286" customWidth="1"/>
    <col min="1029" max="1029" width="19" style="286" customWidth="1"/>
    <col min="1030" max="1030" width="13" style="286" customWidth="1"/>
    <col min="1031" max="1031" width="10.875" style="286" customWidth="1"/>
    <col min="1032" max="1032" width="14.625" style="286" customWidth="1"/>
    <col min="1033" max="1033" width="11.625" style="286" customWidth="1"/>
    <col min="1034" max="1034" width="12" style="286" customWidth="1"/>
    <col min="1035" max="1035" width="23.875" style="286" bestFit="1" customWidth="1"/>
    <col min="1036" max="1036" width="11" style="286" customWidth="1"/>
    <col min="1037" max="1040" width="8" style="286" customWidth="1"/>
    <col min="1041" max="1041" width="8.875" style="286" bestFit="1" customWidth="1"/>
    <col min="1042" max="1042" width="14.25" style="286" customWidth="1"/>
    <col min="1043" max="1043" width="11.875" style="286" customWidth="1"/>
    <col min="1044" max="1280" width="8" style="286"/>
    <col min="1281" max="1281" width="23.625" style="286" customWidth="1"/>
    <col min="1282" max="1282" width="11.375" style="286" customWidth="1"/>
    <col min="1283" max="1283" width="11.125" style="286" customWidth="1"/>
    <col min="1284" max="1284" width="10" style="286" customWidth="1"/>
    <col min="1285" max="1285" width="19" style="286" customWidth="1"/>
    <col min="1286" max="1286" width="13" style="286" customWidth="1"/>
    <col min="1287" max="1287" width="10.875" style="286" customWidth="1"/>
    <col min="1288" max="1288" width="14.625" style="286" customWidth="1"/>
    <col min="1289" max="1289" width="11.625" style="286" customWidth="1"/>
    <col min="1290" max="1290" width="12" style="286" customWidth="1"/>
    <col min="1291" max="1291" width="23.875" style="286" bestFit="1" customWidth="1"/>
    <col min="1292" max="1292" width="11" style="286" customWidth="1"/>
    <col min="1293" max="1296" width="8" style="286" customWidth="1"/>
    <col min="1297" max="1297" width="8.875" style="286" bestFit="1" customWidth="1"/>
    <col min="1298" max="1298" width="14.25" style="286" customWidth="1"/>
    <col min="1299" max="1299" width="11.875" style="286" customWidth="1"/>
    <col min="1300" max="1536" width="8" style="286"/>
    <col min="1537" max="1537" width="23.625" style="286" customWidth="1"/>
    <col min="1538" max="1538" width="11.375" style="286" customWidth="1"/>
    <col min="1539" max="1539" width="11.125" style="286" customWidth="1"/>
    <col min="1540" max="1540" width="10" style="286" customWidth="1"/>
    <col min="1541" max="1541" width="19" style="286" customWidth="1"/>
    <col min="1542" max="1542" width="13" style="286" customWidth="1"/>
    <col min="1543" max="1543" width="10.875" style="286" customWidth="1"/>
    <col min="1544" max="1544" width="14.625" style="286" customWidth="1"/>
    <col min="1545" max="1545" width="11.625" style="286" customWidth="1"/>
    <col min="1546" max="1546" width="12" style="286" customWidth="1"/>
    <col min="1547" max="1547" width="23.875" style="286" bestFit="1" customWidth="1"/>
    <col min="1548" max="1548" width="11" style="286" customWidth="1"/>
    <col min="1549" max="1552" width="8" style="286" customWidth="1"/>
    <col min="1553" max="1553" width="8.875" style="286" bestFit="1" customWidth="1"/>
    <col min="1554" max="1554" width="14.25" style="286" customWidth="1"/>
    <col min="1555" max="1555" width="11.875" style="286" customWidth="1"/>
    <col min="1556" max="1792" width="8" style="286"/>
    <col min="1793" max="1793" width="23.625" style="286" customWidth="1"/>
    <col min="1794" max="1794" width="11.375" style="286" customWidth="1"/>
    <col min="1795" max="1795" width="11.125" style="286" customWidth="1"/>
    <col min="1796" max="1796" width="10" style="286" customWidth="1"/>
    <col min="1797" max="1797" width="19" style="286" customWidth="1"/>
    <col min="1798" max="1798" width="13" style="286" customWidth="1"/>
    <col min="1799" max="1799" width="10.875" style="286" customWidth="1"/>
    <col min="1800" max="1800" width="14.625" style="286" customWidth="1"/>
    <col min="1801" max="1801" width="11.625" style="286" customWidth="1"/>
    <col min="1802" max="1802" width="12" style="286" customWidth="1"/>
    <col min="1803" max="1803" width="23.875" style="286" bestFit="1" customWidth="1"/>
    <col min="1804" max="1804" width="11" style="286" customWidth="1"/>
    <col min="1805" max="1808" width="8" style="286" customWidth="1"/>
    <col min="1809" max="1809" width="8.875" style="286" bestFit="1" customWidth="1"/>
    <col min="1810" max="1810" width="14.25" style="286" customWidth="1"/>
    <col min="1811" max="1811" width="11.875" style="286" customWidth="1"/>
    <col min="1812" max="2048" width="8" style="286"/>
    <col min="2049" max="2049" width="23.625" style="286" customWidth="1"/>
    <col min="2050" max="2050" width="11.375" style="286" customWidth="1"/>
    <col min="2051" max="2051" width="11.125" style="286" customWidth="1"/>
    <col min="2052" max="2052" width="10" style="286" customWidth="1"/>
    <col min="2053" max="2053" width="19" style="286" customWidth="1"/>
    <col min="2054" max="2054" width="13" style="286" customWidth="1"/>
    <col min="2055" max="2055" width="10.875" style="286" customWidth="1"/>
    <col min="2056" max="2056" width="14.625" style="286" customWidth="1"/>
    <col min="2057" max="2057" width="11.625" style="286" customWidth="1"/>
    <col min="2058" max="2058" width="12" style="286" customWidth="1"/>
    <col min="2059" max="2059" width="23.875" style="286" bestFit="1" customWidth="1"/>
    <col min="2060" max="2060" width="11" style="286" customWidth="1"/>
    <col min="2061" max="2064" width="8" style="286" customWidth="1"/>
    <col min="2065" max="2065" width="8.875" style="286" bestFit="1" customWidth="1"/>
    <col min="2066" max="2066" width="14.25" style="286" customWidth="1"/>
    <col min="2067" max="2067" width="11.875" style="286" customWidth="1"/>
    <col min="2068" max="2304" width="8" style="286"/>
    <col min="2305" max="2305" width="23.625" style="286" customWidth="1"/>
    <col min="2306" max="2306" width="11.375" style="286" customWidth="1"/>
    <col min="2307" max="2307" width="11.125" style="286" customWidth="1"/>
    <col min="2308" max="2308" width="10" style="286" customWidth="1"/>
    <col min="2309" max="2309" width="19" style="286" customWidth="1"/>
    <col min="2310" max="2310" width="13" style="286" customWidth="1"/>
    <col min="2311" max="2311" width="10.875" style="286" customWidth="1"/>
    <col min="2312" max="2312" width="14.625" style="286" customWidth="1"/>
    <col min="2313" max="2313" width="11.625" style="286" customWidth="1"/>
    <col min="2314" max="2314" width="12" style="286" customWidth="1"/>
    <col min="2315" max="2315" width="23.875" style="286" bestFit="1" customWidth="1"/>
    <col min="2316" max="2316" width="11" style="286" customWidth="1"/>
    <col min="2317" max="2320" width="8" style="286" customWidth="1"/>
    <col min="2321" max="2321" width="8.875" style="286" bestFit="1" customWidth="1"/>
    <col min="2322" max="2322" width="14.25" style="286" customWidth="1"/>
    <col min="2323" max="2323" width="11.875" style="286" customWidth="1"/>
    <col min="2324" max="2560" width="8" style="286"/>
    <col min="2561" max="2561" width="23.625" style="286" customWidth="1"/>
    <col min="2562" max="2562" width="11.375" style="286" customWidth="1"/>
    <col min="2563" max="2563" width="11.125" style="286" customWidth="1"/>
    <col min="2564" max="2564" width="10" style="286" customWidth="1"/>
    <col min="2565" max="2565" width="19" style="286" customWidth="1"/>
    <col min="2566" max="2566" width="13" style="286" customWidth="1"/>
    <col min="2567" max="2567" width="10.875" style="286" customWidth="1"/>
    <col min="2568" max="2568" width="14.625" style="286" customWidth="1"/>
    <col min="2569" max="2569" width="11.625" style="286" customWidth="1"/>
    <col min="2570" max="2570" width="12" style="286" customWidth="1"/>
    <col min="2571" max="2571" width="23.875" style="286" bestFit="1" customWidth="1"/>
    <col min="2572" max="2572" width="11" style="286" customWidth="1"/>
    <col min="2573" max="2576" width="8" style="286" customWidth="1"/>
    <col min="2577" max="2577" width="8.875" style="286" bestFit="1" customWidth="1"/>
    <col min="2578" max="2578" width="14.25" style="286" customWidth="1"/>
    <col min="2579" max="2579" width="11.875" style="286" customWidth="1"/>
    <col min="2580" max="2816" width="8" style="286"/>
    <col min="2817" max="2817" width="23.625" style="286" customWidth="1"/>
    <col min="2818" max="2818" width="11.375" style="286" customWidth="1"/>
    <col min="2819" max="2819" width="11.125" style="286" customWidth="1"/>
    <col min="2820" max="2820" width="10" style="286" customWidth="1"/>
    <col min="2821" max="2821" width="19" style="286" customWidth="1"/>
    <col min="2822" max="2822" width="13" style="286" customWidth="1"/>
    <col min="2823" max="2823" width="10.875" style="286" customWidth="1"/>
    <col min="2824" max="2824" width="14.625" style="286" customWidth="1"/>
    <col min="2825" max="2825" width="11.625" style="286" customWidth="1"/>
    <col min="2826" max="2826" width="12" style="286" customWidth="1"/>
    <col min="2827" max="2827" width="23.875" style="286" bestFit="1" customWidth="1"/>
    <col min="2828" max="2828" width="11" style="286" customWidth="1"/>
    <col min="2829" max="2832" width="8" style="286" customWidth="1"/>
    <col min="2833" max="2833" width="8.875" style="286" bestFit="1" customWidth="1"/>
    <col min="2834" max="2834" width="14.25" style="286" customWidth="1"/>
    <col min="2835" max="2835" width="11.875" style="286" customWidth="1"/>
    <col min="2836" max="3072" width="8" style="286"/>
    <col min="3073" max="3073" width="23.625" style="286" customWidth="1"/>
    <col min="3074" max="3074" width="11.375" style="286" customWidth="1"/>
    <col min="3075" max="3075" width="11.125" style="286" customWidth="1"/>
    <col min="3076" max="3076" width="10" style="286" customWidth="1"/>
    <col min="3077" max="3077" width="19" style="286" customWidth="1"/>
    <col min="3078" max="3078" width="13" style="286" customWidth="1"/>
    <col min="3079" max="3079" width="10.875" style="286" customWidth="1"/>
    <col min="3080" max="3080" width="14.625" style="286" customWidth="1"/>
    <col min="3081" max="3081" width="11.625" style="286" customWidth="1"/>
    <col min="3082" max="3082" width="12" style="286" customWidth="1"/>
    <col min="3083" max="3083" width="23.875" style="286" bestFit="1" customWidth="1"/>
    <col min="3084" max="3084" width="11" style="286" customWidth="1"/>
    <col min="3085" max="3088" width="8" style="286" customWidth="1"/>
    <col min="3089" max="3089" width="8.875" style="286" bestFit="1" customWidth="1"/>
    <col min="3090" max="3090" width="14.25" style="286" customWidth="1"/>
    <col min="3091" max="3091" width="11.875" style="286" customWidth="1"/>
    <col min="3092" max="3328" width="8" style="286"/>
    <col min="3329" max="3329" width="23.625" style="286" customWidth="1"/>
    <col min="3330" max="3330" width="11.375" style="286" customWidth="1"/>
    <col min="3331" max="3331" width="11.125" style="286" customWidth="1"/>
    <col min="3332" max="3332" width="10" style="286" customWidth="1"/>
    <col min="3333" max="3333" width="19" style="286" customWidth="1"/>
    <col min="3334" max="3334" width="13" style="286" customWidth="1"/>
    <col min="3335" max="3335" width="10.875" style="286" customWidth="1"/>
    <col min="3336" max="3336" width="14.625" style="286" customWidth="1"/>
    <col min="3337" max="3337" width="11.625" style="286" customWidth="1"/>
    <col min="3338" max="3338" width="12" style="286" customWidth="1"/>
    <col min="3339" max="3339" width="23.875" style="286" bestFit="1" customWidth="1"/>
    <col min="3340" max="3340" width="11" style="286" customWidth="1"/>
    <col min="3341" max="3344" width="8" style="286" customWidth="1"/>
    <col min="3345" max="3345" width="8.875" style="286" bestFit="1" customWidth="1"/>
    <col min="3346" max="3346" width="14.25" style="286" customWidth="1"/>
    <col min="3347" max="3347" width="11.875" style="286" customWidth="1"/>
    <col min="3348" max="3584" width="8" style="286"/>
    <col min="3585" max="3585" width="23.625" style="286" customWidth="1"/>
    <col min="3586" max="3586" width="11.375" style="286" customWidth="1"/>
    <col min="3587" max="3587" width="11.125" style="286" customWidth="1"/>
    <col min="3588" max="3588" width="10" style="286" customWidth="1"/>
    <col min="3589" max="3589" width="19" style="286" customWidth="1"/>
    <col min="3590" max="3590" width="13" style="286" customWidth="1"/>
    <col min="3591" max="3591" width="10.875" style="286" customWidth="1"/>
    <col min="3592" max="3592" width="14.625" style="286" customWidth="1"/>
    <col min="3593" max="3593" width="11.625" style="286" customWidth="1"/>
    <col min="3594" max="3594" width="12" style="286" customWidth="1"/>
    <col min="3595" max="3595" width="23.875" style="286" bestFit="1" customWidth="1"/>
    <col min="3596" max="3596" width="11" style="286" customWidth="1"/>
    <col min="3597" max="3600" width="8" style="286" customWidth="1"/>
    <col min="3601" max="3601" width="8.875" style="286" bestFit="1" customWidth="1"/>
    <col min="3602" max="3602" width="14.25" style="286" customWidth="1"/>
    <col min="3603" max="3603" width="11.875" style="286" customWidth="1"/>
    <col min="3604" max="3840" width="8" style="286"/>
    <col min="3841" max="3841" width="23.625" style="286" customWidth="1"/>
    <col min="3842" max="3842" width="11.375" style="286" customWidth="1"/>
    <col min="3843" max="3843" width="11.125" style="286" customWidth="1"/>
    <col min="3844" max="3844" width="10" style="286" customWidth="1"/>
    <col min="3845" max="3845" width="19" style="286" customWidth="1"/>
    <col min="3846" max="3846" width="13" style="286" customWidth="1"/>
    <col min="3847" max="3847" width="10.875" style="286" customWidth="1"/>
    <col min="3848" max="3848" width="14.625" style="286" customWidth="1"/>
    <col min="3849" max="3849" width="11.625" style="286" customWidth="1"/>
    <col min="3850" max="3850" width="12" style="286" customWidth="1"/>
    <col min="3851" max="3851" width="23.875" style="286" bestFit="1" customWidth="1"/>
    <col min="3852" max="3852" width="11" style="286" customWidth="1"/>
    <col min="3853" max="3856" width="8" style="286" customWidth="1"/>
    <col min="3857" max="3857" width="8.875" style="286" bestFit="1" customWidth="1"/>
    <col min="3858" max="3858" width="14.25" style="286" customWidth="1"/>
    <col min="3859" max="3859" width="11.875" style="286" customWidth="1"/>
    <col min="3860" max="4096" width="8" style="286"/>
    <col min="4097" max="4097" width="23.625" style="286" customWidth="1"/>
    <col min="4098" max="4098" width="11.375" style="286" customWidth="1"/>
    <col min="4099" max="4099" width="11.125" style="286" customWidth="1"/>
    <col min="4100" max="4100" width="10" style="286" customWidth="1"/>
    <col min="4101" max="4101" width="19" style="286" customWidth="1"/>
    <col min="4102" max="4102" width="13" style="286" customWidth="1"/>
    <col min="4103" max="4103" width="10.875" style="286" customWidth="1"/>
    <col min="4104" max="4104" width="14.625" style="286" customWidth="1"/>
    <col min="4105" max="4105" width="11.625" style="286" customWidth="1"/>
    <col min="4106" max="4106" width="12" style="286" customWidth="1"/>
    <col min="4107" max="4107" width="23.875" style="286" bestFit="1" customWidth="1"/>
    <col min="4108" max="4108" width="11" style="286" customWidth="1"/>
    <col min="4109" max="4112" width="8" style="286" customWidth="1"/>
    <col min="4113" max="4113" width="8.875" style="286" bestFit="1" customWidth="1"/>
    <col min="4114" max="4114" width="14.25" style="286" customWidth="1"/>
    <col min="4115" max="4115" width="11.875" style="286" customWidth="1"/>
    <col min="4116" max="4352" width="8" style="286"/>
    <col min="4353" max="4353" width="23.625" style="286" customWidth="1"/>
    <col min="4354" max="4354" width="11.375" style="286" customWidth="1"/>
    <col min="4355" max="4355" width="11.125" style="286" customWidth="1"/>
    <col min="4356" max="4356" width="10" style="286" customWidth="1"/>
    <col min="4357" max="4357" width="19" style="286" customWidth="1"/>
    <col min="4358" max="4358" width="13" style="286" customWidth="1"/>
    <col min="4359" max="4359" width="10.875" style="286" customWidth="1"/>
    <col min="4360" max="4360" width="14.625" style="286" customWidth="1"/>
    <col min="4361" max="4361" width="11.625" style="286" customWidth="1"/>
    <col min="4362" max="4362" width="12" style="286" customWidth="1"/>
    <col min="4363" max="4363" width="23.875" style="286" bestFit="1" customWidth="1"/>
    <col min="4364" max="4364" width="11" style="286" customWidth="1"/>
    <col min="4365" max="4368" width="8" style="286" customWidth="1"/>
    <col min="4369" max="4369" width="8.875" style="286" bestFit="1" customWidth="1"/>
    <col min="4370" max="4370" width="14.25" style="286" customWidth="1"/>
    <col min="4371" max="4371" width="11.875" style="286" customWidth="1"/>
    <col min="4372" max="4608" width="8" style="286"/>
    <col min="4609" max="4609" width="23.625" style="286" customWidth="1"/>
    <col min="4610" max="4610" width="11.375" style="286" customWidth="1"/>
    <col min="4611" max="4611" width="11.125" style="286" customWidth="1"/>
    <col min="4612" max="4612" width="10" style="286" customWidth="1"/>
    <col min="4613" max="4613" width="19" style="286" customWidth="1"/>
    <col min="4614" max="4614" width="13" style="286" customWidth="1"/>
    <col min="4615" max="4615" width="10.875" style="286" customWidth="1"/>
    <col min="4616" max="4616" width="14.625" style="286" customWidth="1"/>
    <col min="4617" max="4617" width="11.625" style="286" customWidth="1"/>
    <col min="4618" max="4618" width="12" style="286" customWidth="1"/>
    <col min="4619" max="4619" width="23.875" style="286" bestFit="1" customWidth="1"/>
    <col min="4620" max="4620" width="11" style="286" customWidth="1"/>
    <col min="4621" max="4624" width="8" style="286" customWidth="1"/>
    <col min="4625" max="4625" width="8.875" style="286" bestFit="1" customWidth="1"/>
    <col min="4626" max="4626" width="14.25" style="286" customWidth="1"/>
    <col min="4627" max="4627" width="11.875" style="286" customWidth="1"/>
    <col min="4628" max="4864" width="8" style="286"/>
    <col min="4865" max="4865" width="23.625" style="286" customWidth="1"/>
    <col min="4866" max="4866" width="11.375" style="286" customWidth="1"/>
    <col min="4867" max="4867" width="11.125" style="286" customWidth="1"/>
    <col min="4868" max="4868" width="10" style="286" customWidth="1"/>
    <col min="4869" max="4869" width="19" style="286" customWidth="1"/>
    <col min="4870" max="4870" width="13" style="286" customWidth="1"/>
    <col min="4871" max="4871" width="10.875" style="286" customWidth="1"/>
    <col min="4872" max="4872" width="14.625" style="286" customWidth="1"/>
    <col min="4873" max="4873" width="11.625" style="286" customWidth="1"/>
    <col min="4874" max="4874" width="12" style="286" customWidth="1"/>
    <col min="4875" max="4875" width="23.875" style="286" bestFit="1" customWidth="1"/>
    <col min="4876" max="4876" width="11" style="286" customWidth="1"/>
    <col min="4877" max="4880" width="8" style="286" customWidth="1"/>
    <col min="4881" max="4881" width="8.875" style="286" bestFit="1" customWidth="1"/>
    <col min="4882" max="4882" width="14.25" style="286" customWidth="1"/>
    <col min="4883" max="4883" width="11.875" style="286" customWidth="1"/>
    <col min="4884" max="5120" width="8" style="286"/>
    <col min="5121" max="5121" width="23.625" style="286" customWidth="1"/>
    <col min="5122" max="5122" width="11.375" style="286" customWidth="1"/>
    <col min="5123" max="5123" width="11.125" style="286" customWidth="1"/>
    <col min="5124" max="5124" width="10" style="286" customWidth="1"/>
    <col min="5125" max="5125" width="19" style="286" customWidth="1"/>
    <col min="5126" max="5126" width="13" style="286" customWidth="1"/>
    <col min="5127" max="5127" width="10.875" style="286" customWidth="1"/>
    <col min="5128" max="5128" width="14.625" style="286" customWidth="1"/>
    <col min="5129" max="5129" width="11.625" style="286" customWidth="1"/>
    <col min="5130" max="5130" width="12" style="286" customWidth="1"/>
    <col min="5131" max="5131" width="23.875" style="286" bestFit="1" customWidth="1"/>
    <col min="5132" max="5132" width="11" style="286" customWidth="1"/>
    <col min="5133" max="5136" width="8" style="286" customWidth="1"/>
    <col min="5137" max="5137" width="8.875" style="286" bestFit="1" customWidth="1"/>
    <col min="5138" max="5138" width="14.25" style="286" customWidth="1"/>
    <col min="5139" max="5139" width="11.875" style="286" customWidth="1"/>
    <col min="5140" max="5376" width="8" style="286"/>
    <col min="5377" max="5377" width="23.625" style="286" customWidth="1"/>
    <col min="5378" max="5378" width="11.375" style="286" customWidth="1"/>
    <col min="5379" max="5379" width="11.125" style="286" customWidth="1"/>
    <col min="5380" max="5380" width="10" style="286" customWidth="1"/>
    <col min="5381" max="5381" width="19" style="286" customWidth="1"/>
    <col min="5382" max="5382" width="13" style="286" customWidth="1"/>
    <col min="5383" max="5383" width="10.875" style="286" customWidth="1"/>
    <col min="5384" max="5384" width="14.625" style="286" customWidth="1"/>
    <col min="5385" max="5385" width="11.625" style="286" customWidth="1"/>
    <col min="5386" max="5386" width="12" style="286" customWidth="1"/>
    <col min="5387" max="5387" width="23.875" style="286" bestFit="1" customWidth="1"/>
    <col min="5388" max="5388" width="11" style="286" customWidth="1"/>
    <col min="5389" max="5392" width="8" style="286" customWidth="1"/>
    <col min="5393" max="5393" width="8.875" style="286" bestFit="1" customWidth="1"/>
    <col min="5394" max="5394" width="14.25" style="286" customWidth="1"/>
    <col min="5395" max="5395" width="11.875" style="286" customWidth="1"/>
    <col min="5396" max="5632" width="8" style="286"/>
    <col min="5633" max="5633" width="23.625" style="286" customWidth="1"/>
    <col min="5634" max="5634" width="11.375" style="286" customWidth="1"/>
    <col min="5635" max="5635" width="11.125" style="286" customWidth="1"/>
    <col min="5636" max="5636" width="10" style="286" customWidth="1"/>
    <col min="5637" max="5637" width="19" style="286" customWidth="1"/>
    <col min="5638" max="5638" width="13" style="286" customWidth="1"/>
    <col min="5639" max="5639" width="10.875" style="286" customWidth="1"/>
    <col min="5640" max="5640" width="14.625" style="286" customWidth="1"/>
    <col min="5641" max="5641" width="11.625" style="286" customWidth="1"/>
    <col min="5642" max="5642" width="12" style="286" customWidth="1"/>
    <col min="5643" max="5643" width="23.875" style="286" bestFit="1" customWidth="1"/>
    <col min="5644" max="5644" width="11" style="286" customWidth="1"/>
    <col min="5645" max="5648" width="8" style="286" customWidth="1"/>
    <col min="5649" max="5649" width="8.875" style="286" bestFit="1" customWidth="1"/>
    <col min="5650" max="5650" width="14.25" style="286" customWidth="1"/>
    <col min="5651" max="5651" width="11.875" style="286" customWidth="1"/>
    <col min="5652" max="5888" width="8" style="286"/>
    <col min="5889" max="5889" width="23.625" style="286" customWidth="1"/>
    <col min="5890" max="5890" width="11.375" style="286" customWidth="1"/>
    <col min="5891" max="5891" width="11.125" style="286" customWidth="1"/>
    <col min="5892" max="5892" width="10" style="286" customWidth="1"/>
    <col min="5893" max="5893" width="19" style="286" customWidth="1"/>
    <col min="5894" max="5894" width="13" style="286" customWidth="1"/>
    <col min="5895" max="5895" width="10.875" style="286" customWidth="1"/>
    <col min="5896" max="5896" width="14.625" style="286" customWidth="1"/>
    <col min="5897" max="5897" width="11.625" style="286" customWidth="1"/>
    <col min="5898" max="5898" width="12" style="286" customWidth="1"/>
    <col min="5899" max="5899" width="23.875" style="286" bestFit="1" customWidth="1"/>
    <col min="5900" max="5900" width="11" style="286" customWidth="1"/>
    <col min="5901" max="5904" width="8" style="286" customWidth="1"/>
    <col min="5905" max="5905" width="8.875" style="286" bestFit="1" customWidth="1"/>
    <col min="5906" max="5906" width="14.25" style="286" customWidth="1"/>
    <col min="5907" max="5907" width="11.875" style="286" customWidth="1"/>
    <col min="5908" max="6144" width="8" style="286"/>
    <col min="6145" max="6145" width="23.625" style="286" customWidth="1"/>
    <col min="6146" max="6146" width="11.375" style="286" customWidth="1"/>
    <col min="6147" max="6147" width="11.125" style="286" customWidth="1"/>
    <col min="6148" max="6148" width="10" style="286" customWidth="1"/>
    <col min="6149" max="6149" width="19" style="286" customWidth="1"/>
    <col min="6150" max="6150" width="13" style="286" customWidth="1"/>
    <col min="6151" max="6151" width="10.875" style="286" customWidth="1"/>
    <col min="6152" max="6152" width="14.625" style="286" customWidth="1"/>
    <col min="6153" max="6153" width="11.625" style="286" customWidth="1"/>
    <col min="6154" max="6154" width="12" style="286" customWidth="1"/>
    <col min="6155" max="6155" width="23.875" style="286" bestFit="1" customWidth="1"/>
    <col min="6156" max="6156" width="11" style="286" customWidth="1"/>
    <col min="6157" max="6160" width="8" style="286" customWidth="1"/>
    <col min="6161" max="6161" width="8.875" style="286" bestFit="1" customWidth="1"/>
    <col min="6162" max="6162" width="14.25" style="286" customWidth="1"/>
    <col min="6163" max="6163" width="11.875" style="286" customWidth="1"/>
    <col min="6164" max="6400" width="8" style="286"/>
    <col min="6401" max="6401" width="23.625" style="286" customWidth="1"/>
    <col min="6402" max="6402" width="11.375" style="286" customWidth="1"/>
    <col min="6403" max="6403" width="11.125" style="286" customWidth="1"/>
    <col min="6404" max="6404" width="10" style="286" customWidth="1"/>
    <col min="6405" max="6405" width="19" style="286" customWidth="1"/>
    <col min="6406" max="6406" width="13" style="286" customWidth="1"/>
    <col min="6407" max="6407" width="10.875" style="286" customWidth="1"/>
    <col min="6408" max="6408" width="14.625" style="286" customWidth="1"/>
    <col min="6409" max="6409" width="11.625" style="286" customWidth="1"/>
    <col min="6410" max="6410" width="12" style="286" customWidth="1"/>
    <col min="6411" max="6411" width="23.875" style="286" bestFit="1" customWidth="1"/>
    <col min="6412" max="6412" width="11" style="286" customWidth="1"/>
    <col min="6413" max="6416" width="8" style="286" customWidth="1"/>
    <col min="6417" max="6417" width="8.875" style="286" bestFit="1" customWidth="1"/>
    <col min="6418" max="6418" width="14.25" style="286" customWidth="1"/>
    <col min="6419" max="6419" width="11.875" style="286" customWidth="1"/>
    <col min="6420" max="6656" width="8" style="286"/>
    <col min="6657" max="6657" width="23.625" style="286" customWidth="1"/>
    <col min="6658" max="6658" width="11.375" style="286" customWidth="1"/>
    <col min="6659" max="6659" width="11.125" style="286" customWidth="1"/>
    <col min="6660" max="6660" width="10" style="286" customWidth="1"/>
    <col min="6661" max="6661" width="19" style="286" customWidth="1"/>
    <col min="6662" max="6662" width="13" style="286" customWidth="1"/>
    <col min="6663" max="6663" width="10.875" style="286" customWidth="1"/>
    <col min="6664" max="6664" width="14.625" style="286" customWidth="1"/>
    <col min="6665" max="6665" width="11.625" style="286" customWidth="1"/>
    <col min="6666" max="6666" width="12" style="286" customWidth="1"/>
    <col min="6667" max="6667" width="23.875" style="286" bestFit="1" customWidth="1"/>
    <col min="6668" max="6668" width="11" style="286" customWidth="1"/>
    <col min="6669" max="6672" width="8" style="286" customWidth="1"/>
    <col min="6673" max="6673" width="8.875" style="286" bestFit="1" customWidth="1"/>
    <col min="6674" max="6674" width="14.25" style="286" customWidth="1"/>
    <col min="6675" max="6675" width="11.875" style="286" customWidth="1"/>
    <col min="6676" max="6912" width="8" style="286"/>
    <col min="6913" max="6913" width="23.625" style="286" customWidth="1"/>
    <col min="6914" max="6914" width="11.375" style="286" customWidth="1"/>
    <col min="6915" max="6915" width="11.125" style="286" customWidth="1"/>
    <col min="6916" max="6916" width="10" style="286" customWidth="1"/>
    <col min="6917" max="6917" width="19" style="286" customWidth="1"/>
    <col min="6918" max="6918" width="13" style="286" customWidth="1"/>
    <col min="6919" max="6919" width="10.875" style="286" customWidth="1"/>
    <col min="6920" max="6920" width="14.625" style="286" customWidth="1"/>
    <col min="6921" max="6921" width="11.625" style="286" customWidth="1"/>
    <col min="6922" max="6922" width="12" style="286" customWidth="1"/>
    <col min="6923" max="6923" width="23.875" style="286" bestFit="1" customWidth="1"/>
    <col min="6924" max="6924" width="11" style="286" customWidth="1"/>
    <col min="6925" max="6928" width="8" style="286" customWidth="1"/>
    <col min="6929" max="6929" width="8.875" style="286" bestFit="1" customWidth="1"/>
    <col min="6930" max="6930" width="14.25" style="286" customWidth="1"/>
    <col min="6931" max="6931" width="11.875" style="286" customWidth="1"/>
    <col min="6932" max="7168" width="8" style="286"/>
    <col min="7169" max="7169" width="23.625" style="286" customWidth="1"/>
    <col min="7170" max="7170" width="11.375" style="286" customWidth="1"/>
    <col min="7171" max="7171" width="11.125" style="286" customWidth="1"/>
    <col min="7172" max="7172" width="10" style="286" customWidth="1"/>
    <col min="7173" max="7173" width="19" style="286" customWidth="1"/>
    <col min="7174" max="7174" width="13" style="286" customWidth="1"/>
    <col min="7175" max="7175" width="10.875" style="286" customWidth="1"/>
    <col min="7176" max="7176" width="14.625" style="286" customWidth="1"/>
    <col min="7177" max="7177" width="11.625" style="286" customWidth="1"/>
    <col min="7178" max="7178" width="12" style="286" customWidth="1"/>
    <col min="7179" max="7179" width="23.875" style="286" bestFit="1" customWidth="1"/>
    <col min="7180" max="7180" width="11" style="286" customWidth="1"/>
    <col min="7181" max="7184" width="8" style="286" customWidth="1"/>
    <col min="7185" max="7185" width="8.875" style="286" bestFit="1" customWidth="1"/>
    <col min="7186" max="7186" width="14.25" style="286" customWidth="1"/>
    <col min="7187" max="7187" width="11.875" style="286" customWidth="1"/>
    <col min="7188" max="7424" width="8" style="286"/>
    <col min="7425" max="7425" width="23.625" style="286" customWidth="1"/>
    <col min="7426" max="7426" width="11.375" style="286" customWidth="1"/>
    <col min="7427" max="7427" width="11.125" style="286" customWidth="1"/>
    <col min="7428" max="7428" width="10" style="286" customWidth="1"/>
    <col min="7429" max="7429" width="19" style="286" customWidth="1"/>
    <col min="7430" max="7430" width="13" style="286" customWidth="1"/>
    <col min="7431" max="7431" width="10.875" style="286" customWidth="1"/>
    <col min="7432" max="7432" width="14.625" style="286" customWidth="1"/>
    <col min="7433" max="7433" width="11.625" style="286" customWidth="1"/>
    <col min="7434" max="7434" width="12" style="286" customWidth="1"/>
    <col min="7435" max="7435" width="23.875" style="286" bestFit="1" customWidth="1"/>
    <col min="7436" max="7436" width="11" style="286" customWidth="1"/>
    <col min="7437" max="7440" width="8" style="286" customWidth="1"/>
    <col min="7441" max="7441" width="8.875" style="286" bestFit="1" customWidth="1"/>
    <col min="7442" max="7442" width="14.25" style="286" customWidth="1"/>
    <col min="7443" max="7443" width="11.875" style="286" customWidth="1"/>
    <col min="7444" max="7680" width="8" style="286"/>
    <col min="7681" max="7681" width="23.625" style="286" customWidth="1"/>
    <col min="7682" max="7682" width="11.375" style="286" customWidth="1"/>
    <col min="7683" max="7683" width="11.125" style="286" customWidth="1"/>
    <col min="7684" max="7684" width="10" style="286" customWidth="1"/>
    <col min="7685" max="7685" width="19" style="286" customWidth="1"/>
    <col min="7686" max="7686" width="13" style="286" customWidth="1"/>
    <col min="7687" max="7687" width="10.875" style="286" customWidth="1"/>
    <col min="7688" max="7688" width="14.625" style="286" customWidth="1"/>
    <col min="7689" max="7689" width="11.625" style="286" customWidth="1"/>
    <col min="7690" max="7690" width="12" style="286" customWidth="1"/>
    <col min="7691" max="7691" width="23.875" style="286" bestFit="1" customWidth="1"/>
    <col min="7692" max="7692" width="11" style="286" customWidth="1"/>
    <col min="7693" max="7696" width="8" style="286" customWidth="1"/>
    <col min="7697" max="7697" width="8.875" style="286" bestFit="1" customWidth="1"/>
    <col min="7698" max="7698" width="14.25" style="286" customWidth="1"/>
    <col min="7699" max="7699" width="11.875" style="286" customWidth="1"/>
    <col min="7700" max="7936" width="8" style="286"/>
    <col min="7937" max="7937" width="23.625" style="286" customWidth="1"/>
    <col min="7938" max="7938" width="11.375" style="286" customWidth="1"/>
    <col min="7939" max="7939" width="11.125" style="286" customWidth="1"/>
    <col min="7940" max="7940" width="10" style="286" customWidth="1"/>
    <col min="7941" max="7941" width="19" style="286" customWidth="1"/>
    <col min="7942" max="7942" width="13" style="286" customWidth="1"/>
    <col min="7943" max="7943" width="10.875" style="286" customWidth="1"/>
    <col min="7944" max="7944" width="14.625" style="286" customWidth="1"/>
    <col min="7945" max="7945" width="11.625" style="286" customWidth="1"/>
    <col min="7946" max="7946" width="12" style="286" customWidth="1"/>
    <col min="7947" max="7947" width="23.875" style="286" bestFit="1" customWidth="1"/>
    <col min="7948" max="7948" width="11" style="286" customWidth="1"/>
    <col min="7949" max="7952" width="8" style="286" customWidth="1"/>
    <col min="7953" max="7953" width="8.875" style="286" bestFit="1" customWidth="1"/>
    <col min="7954" max="7954" width="14.25" style="286" customWidth="1"/>
    <col min="7955" max="7955" width="11.875" style="286" customWidth="1"/>
    <col min="7956" max="8192" width="8" style="286"/>
    <col min="8193" max="8193" width="23.625" style="286" customWidth="1"/>
    <col min="8194" max="8194" width="11.375" style="286" customWidth="1"/>
    <col min="8195" max="8195" width="11.125" style="286" customWidth="1"/>
    <col min="8196" max="8196" width="10" style="286" customWidth="1"/>
    <col min="8197" max="8197" width="19" style="286" customWidth="1"/>
    <col min="8198" max="8198" width="13" style="286" customWidth="1"/>
    <col min="8199" max="8199" width="10.875" style="286" customWidth="1"/>
    <col min="8200" max="8200" width="14.625" style="286" customWidth="1"/>
    <col min="8201" max="8201" width="11.625" style="286" customWidth="1"/>
    <col min="8202" max="8202" width="12" style="286" customWidth="1"/>
    <col min="8203" max="8203" width="23.875" style="286" bestFit="1" customWidth="1"/>
    <col min="8204" max="8204" width="11" style="286" customWidth="1"/>
    <col min="8205" max="8208" width="8" style="286" customWidth="1"/>
    <col min="8209" max="8209" width="8.875" style="286" bestFit="1" customWidth="1"/>
    <col min="8210" max="8210" width="14.25" style="286" customWidth="1"/>
    <col min="8211" max="8211" width="11.875" style="286" customWidth="1"/>
    <col min="8212" max="8448" width="8" style="286"/>
    <col min="8449" max="8449" width="23.625" style="286" customWidth="1"/>
    <col min="8450" max="8450" width="11.375" style="286" customWidth="1"/>
    <col min="8451" max="8451" width="11.125" style="286" customWidth="1"/>
    <col min="8452" max="8452" width="10" style="286" customWidth="1"/>
    <col min="8453" max="8453" width="19" style="286" customWidth="1"/>
    <col min="8454" max="8454" width="13" style="286" customWidth="1"/>
    <col min="8455" max="8455" width="10.875" style="286" customWidth="1"/>
    <col min="8456" max="8456" width="14.625" style="286" customWidth="1"/>
    <col min="8457" max="8457" width="11.625" style="286" customWidth="1"/>
    <col min="8458" max="8458" width="12" style="286" customWidth="1"/>
    <col min="8459" max="8459" width="23.875" style="286" bestFit="1" customWidth="1"/>
    <col min="8460" max="8460" width="11" style="286" customWidth="1"/>
    <col min="8461" max="8464" width="8" style="286" customWidth="1"/>
    <col min="8465" max="8465" width="8.875" style="286" bestFit="1" customWidth="1"/>
    <col min="8466" max="8466" width="14.25" style="286" customWidth="1"/>
    <col min="8467" max="8467" width="11.875" style="286" customWidth="1"/>
    <col min="8468" max="8704" width="8" style="286"/>
    <col min="8705" max="8705" width="23.625" style="286" customWidth="1"/>
    <col min="8706" max="8706" width="11.375" style="286" customWidth="1"/>
    <col min="8707" max="8707" width="11.125" style="286" customWidth="1"/>
    <col min="8708" max="8708" width="10" style="286" customWidth="1"/>
    <col min="8709" max="8709" width="19" style="286" customWidth="1"/>
    <col min="8710" max="8710" width="13" style="286" customWidth="1"/>
    <col min="8711" max="8711" width="10.875" style="286" customWidth="1"/>
    <col min="8712" max="8712" width="14.625" style="286" customWidth="1"/>
    <col min="8713" max="8713" width="11.625" style="286" customWidth="1"/>
    <col min="8714" max="8714" width="12" style="286" customWidth="1"/>
    <col min="8715" max="8715" width="23.875" style="286" bestFit="1" customWidth="1"/>
    <col min="8716" max="8716" width="11" style="286" customWidth="1"/>
    <col min="8717" max="8720" width="8" style="286" customWidth="1"/>
    <col min="8721" max="8721" width="8.875" style="286" bestFit="1" customWidth="1"/>
    <col min="8722" max="8722" width="14.25" style="286" customWidth="1"/>
    <col min="8723" max="8723" width="11.875" style="286" customWidth="1"/>
    <col min="8724" max="8960" width="8" style="286"/>
    <col min="8961" max="8961" width="23.625" style="286" customWidth="1"/>
    <col min="8962" max="8962" width="11.375" style="286" customWidth="1"/>
    <col min="8963" max="8963" width="11.125" style="286" customWidth="1"/>
    <col min="8964" max="8964" width="10" style="286" customWidth="1"/>
    <col min="8965" max="8965" width="19" style="286" customWidth="1"/>
    <col min="8966" max="8966" width="13" style="286" customWidth="1"/>
    <col min="8967" max="8967" width="10.875" style="286" customWidth="1"/>
    <col min="8968" max="8968" width="14.625" style="286" customWidth="1"/>
    <col min="8969" max="8969" width="11.625" style="286" customWidth="1"/>
    <col min="8970" max="8970" width="12" style="286" customWidth="1"/>
    <col min="8971" max="8971" width="23.875" style="286" bestFit="1" customWidth="1"/>
    <col min="8972" max="8972" width="11" style="286" customWidth="1"/>
    <col min="8973" max="8976" width="8" style="286" customWidth="1"/>
    <col min="8977" max="8977" width="8.875" style="286" bestFit="1" customWidth="1"/>
    <col min="8978" max="8978" width="14.25" style="286" customWidth="1"/>
    <col min="8979" max="8979" width="11.875" style="286" customWidth="1"/>
    <col min="8980" max="9216" width="8" style="286"/>
    <col min="9217" max="9217" width="23.625" style="286" customWidth="1"/>
    <col min="9218" max="9218" width="11.375" style="286" customWidth="1"/>
    <col min="9219" max="9219" width="11.125" style="286" customWidth="1"/>
    <col min="9220" max="9220" width="10" style="286" customWidth="1"/>
    <col min="9221" max="9221" width="19" style="286" customWidth="1"/>
    <col min="9222" max="9222" width="13" style="286" customWidth="1"/>
    <col min="9223" max="9223" width="10.875" style="286" customWidth="1"/>
    <col min="9224" max="9224" width="14.625" style="286" customWidth="1"/>
    <col min="9225" max="9225" width="11.625" style="286" customWidth="1"/>
    <col min="9226" max="9226" width="12" style="286" customWidth="1"/>
    <col min="9227" max="9227" width="23.875" style="286" bestFit="1" customWidth="1"/>
    <col min="9228" max="9228" width="11" style="286" customWidth="1"/>
    <col min="9229" max="9232" width="8" style="286" customWidth="1"/>
    <col min="9233" max="9233" width="8.875" style="286" bestFit="1" customWidth="1"/>
    <col min="9234" max="9234" width="14.25" style="286" customWidth="1"/>
    <col min="9235" max="9235" width="11.875" style="286" customWidth="1"/>
    <col min="9236" max="9472" width="8" style="286"/>
    <col min="9473" max="9473" width="23.625" style="286" customWidth="1"/>
    <col min="9474" max="9474" width="11.375" style="286" customWidth="1"/>
    <col min="9475" max="9475" width="11.125" style="286" customWidth="1"/>
    <col min="9476" max="9476" width="10" style="286" customWidth="1"/>
    <col min="9477" max="9477" width="19" style="286" customWidth="1"/>
    <col min="9478" max="9478" width="13" style="286" customWidth="1"/>
    <col min="9479" max="9479" width="10.875" style="286" customWidth="1"/>
    <col min="9480" max="9480" width="14.625" style="286" customWidth="1"/>
    <col min="9481" max="9481" width="11.625" style="286" customWidth="1"/>
    <col min="9482" max="9482" width="12" style="286" customWidth="1"/>
    <col min="9483" max="9483" width="23.875" style="286" bestFit="1" customWidth="1"/>
    <col min="9484" max="9484" width="11" style="286" customWidth="1"/>
    <col min="9485" max="9488" width="8" style="286" customWidth="1"/>
    <col min="9489" max="9489" width="8.875" style="286" bestFit="1" customWidth="1"/>
    <col min="9490" max="9490" width="14.25" style="286" customWidth="1"/>
    <col min="9491" max="9491" width="11.875" style="286" customWidth="1"/>
    <col min="9492" max="9728" width="8" style="286"/>
    <col min="9729" max="9729" width="23.625" style="286" customWidth="1"/>
    <col min="9730" max="9730" width="11.375" style="286" customWidth="1"/>
    <col min="9731" max="9731" width="11.125" style="286" customWidth="1"/>
    <col min="9732" max="9732" width="10" style="286" customWidth="1"/>
    <col min="9733" max="9733" width="19" style="286" customWidth="1"/>
    <col min="9734" max="9734" width="13" style="286" customWidth="1"/>
    <col min="9735" max="9735" width="10.875" style="286" customWidth="1"/>
    <col min="9736" max="9736" width="14.625" style="286" customWidth="1"/>
    <col min="9737" max="9737" width="11.625" style="286" customWidth="1"/>
    <col min="9738" max="9738" width="12" style="286" customWidth="1"/>
    <col min="9739" max="9739" width="23.875" style="286" bestFit="1" customWidth="1"/>
    <col min="9740" max="9740" width="11" style="286" customWidth="1"/>
    <col min="9741" max="9744" width="8" style="286" customWidth="1"/>
    <col min="9745" max="9745" width="8.875" style="286" bestFit="1" customWidth="1"/>
    <col min="9746" max="9746" width="14.25" style="286" customWidth="1"/>
    <col min="9747" max="9747" width="11.875" style="286" customWidth="1"/>
    <col min="9748" max="9984" width="8" style="286"/>
    <col min="9985" max="9985" width="23.625" style="286" customWidth="1"/>
    <col min="9986" max="9986" width="11.375" style="286" customWidth="1"/>
    <col min="9987" max="9987" width="11.125" style="286" customWidth="1"/>
    <col min="9988" max="9988" width="10" style="286" customWidth="1"/>
    <col min="9989" max="9989" width="19" style="286" customWidth="1"/>
    <col min="9990" max="9990" width="13" style="286" customWidth="1"/>
    <col min="9991" max="9991" width="10.875" style="286" customWidth="1"/>
    <col min="9992" max="9992" width="14.625" style="286" customWidth="1"/>
    <col min="9993" max="9993" width="11.625" style="286" customWidth="1"/>
    <col min="9994" max="9994" width="12" style="286" customWidth="1"/>
    <col min="9995" max="9995" width="23.875" style="286" bestFit="1" customWidth="1"/>
    <col min="9996" max="9996" width="11" style="286" customWidth="1"/>
    <col min="9997" max="10000" width="8" style="286" customWidth="1"/>
    <col min="10001" max="10001" width="8.875" style="286" bestFit="1" customWidth="1"/>
    <col min="10002" max="10002" width="14.25" style="286" customWidth="1"/>
    <col min="10003" max="10003" width="11.875" style="286" customWidth="1"/>
    <col min="10004" max="10240" width="8" style="286"/>
    <col min="10241" max="10241" width="23.625" style="286" customWidth="1"/>
    <col min="10242" max="10242" width="11.375" style="286" customWidth="1"/>
    <col min="10243" max="10243" width="11.125" style="286" customWidth="1"/>
    <col min="10244" max="10244" width="10" style="286" customWidth="1"/>
    <col min="10245" max="10245" width="19" style="286" customWidth="1"/>
    <col min="10246" max="10246" width="13" style="286" customWidth="1"/>
    <col min="10247" max="10247" width="10.875" style="286" customWidth="1"/>
    <col min="10248" max="10248" width="14.625" style="286" customWidth="1"/>
    <col min="10249" max="10249" width="11.625" style="286" customWidth="1"/>
    <col min="10250" max="10250" width="12" style="286" customWidth="1"/>
    <col min="10251" max="10251" width="23.875" style="286" bestFit="1" customWidth="1"/>
    <col min="10252" max="10252" width="11" style="286" customWidth="1"/>
    <col min="10253" max="10256" width="8" style="286" customWidth="1"/>
    <col min="10257" max="10257" width="8.875" style="286" bestFit="1" customWidth="1"/>
    <col min="10258" max="10258" width="14.25" style="286" customWidth="1"/>
    <col min="10259" max="10259" width="11.875" style="286" customWidth="1"/>
    <col min="10260" max="10496" width="8" style="286"/>
    <col min="10497" max="10497" width="23.625" style="286" customWidth="1"/>
    <col min="10498" max="10498" width="11.375" style="286" customWidth="1"/>
    <col min="10499" max="10499" width="11.125" style="286" customWidth="1"/>
    <col min="10500" max="10500" width="10" style="286" customWidth="1"/>
    <col min="10501" max="10501" width="19" style="286" customWidth="1"/>
    <col min="10502" max="10502" width="13" style="286" customWidth="1"/>
    <col min="10503" max="10503" width="10.875" style="286" customWidth="1"/>
    <col min="10504" max="10504" width="14.625" style="286" customWidth="1"/>
    <col min="10505" max="10505" width="11.625" style="286" customWidth="1"/>
    <col min="10506" max="10506" width="12" style="286" customWidth="1"/>
    <col min="10507" max="10507" width="23.875" style="286" bestFit="1" customWidth="1"/>
    <col min="10508" max="10508" width="11" style="286" customWidth="1"/>
    <col min="10509" max="10512" width="8" style="286" customWidth="1"/>
    <col min="10513" max="10513" width="8.875" style="286" bestFit="1" customWidth="1"/>
    <col min="10514" max="10514" width="14.25" style="286" customWidth="1"/>
    <col min="10515" max="10515" width="11.875" style="286" customWidth="1"/>
    <col min="10516" max="10752" width="8" style="286"/>
    <col min="10753" max="10753" width="23.625" style="286" customWidth="1"/>
    <col min="10754" max="10754" width="11.375" style="286" customWidth="1"/>
    <col min="10755" max="10755" width="11.125" style="286" customWidth="1"/>
    <col min="10756" max="10756" width="10" style="286" customWidth="1"/>
    <col min="10757" max="10757" width="19" style="286" customWidth="1"/>
    <col min="10758" max="10758" width="13" style="286" customWidth="1"/>
    <col min="10759" max="10759" width="10.875" style="286" customWidth="1"/>
    <col min="10760" max="10760" width="14.625" style="286" customWidth="1"/>
    <col min="10761" max="10761" width="11.625" style="286" customWidth="1"/>
    <col min="10762" max="10762" width="12" style="286" customWidth="1"/>
    <col min="10763" max="10763" width="23.875" style="286" bestFit="1" customWidth="1"/>
    <col min="10764" max="10764" width="11" style="286" customWidth="1"/>
    <col min="10765" max="10768" width="8" style="286" customWidth="1"/>
    <col min="10769" max="10769" width="8.875" style="286" bestFit="1" customWidth="1"/>
    <col min="10770" max="10770" width="14.25" style="286" customWidth="1"/>
    <col min="10771" max="10771" width="11.875" style="286" customWidth="1"/>
    <col min="10772" max="11008" width="8" style="286"/>
    <col min="11009" max="11009" width="23.625" style="286" customWidth="1"/>
    <col min="11010" max="11010" width="11.375" style="286" customWidth="1"/>
    <col min="11011" max="11011" width="11.125" style="286" customWidth="1"/>
    <col min="11012" max="11012" width="10" style="286" customWidth="1"/>
    <col min="11013" max="11013" width="19" style="286" customWidth="1"/>
    <col min="11014" max="11014" width="13" style="286" customWidth="1"/>
    <col min="11015" max="11015" width="10.875" style="286" customWidth="1"/>
    <col min="11016" max="11016" width="14.625" style="286" customWidth="1"/>
    <col min="11017" max="11017" width="11.625" style="286" customWidth="1"/>
    <col min="11018" max="11018" width="12" style="286" customWidth="1"/>
    <col min="11019" max="11019" width="23.875" style="286" bestFit="1" customWidth="1"/>
    <col min="11020" max="11020" width="11" style="286" customWidth="1"/>
    <col min="11021" max="11024" width="8" style="286" customWidth="1"/>
    <col min="11025" max="11025" width="8.875" style="286" bestFit="1" customWidth="1"/>
    <col min="11026" max="11026" width="14.25" style="286" customWidth="1"/>
    <col min="11027" max="11027" width="11.875" style="286" customWidth="1"/>
    <col min="11028" max="11264" width="8" style="286"/>
    <col min="11265" max="11265" width="23.625" style="286" customWidth="1"/>
    <col min="11266" max="11266" width="11.375" style="286" customWidth="1"/>
    <col min="11267" max="11267" width="11.125" style="286" customWidth="1"/>
    <col min="11268" max="11268" width="10" style="286" customWidth="1"/>
    <col min="11269" max="11269" width="19" style="286" customWidth="1"/>
    <col min="11270" max="11270" width="13" style="286" customWidth="1"/>
    <col min="11271" max="11271" width="10.875" style="286" customWidth="1"/>
    <col min="11272" max="11272" width="14.625" style="286" customWidth="1"/>
    <col min="11273" max="11273" width="11.625" style="286" customWidth="1"/>
    <col min="11274" max="11274" width="12" style="286" customWidth="1"/>
    <col min="11275" max="11275" width="23.875" style="286" bestFit="1" customWidth="1"/>
    <col min="11276" max="11276" width="11" style="286" customWidth="1"/>
    <col min="11277" max="11280" width="8" style="286" customWidth="1"/>
    <col min="11281" max="11281" width="8.875" style="286" bestFit="1" customWidth="1"/>
    <col min="11282" max="11282" width="14.25" style="286" customWidth="1"/>
    <col min="11283" max="11283" width="11.875" style="286" customWidth="1"/>
    <col min="11284" max="11520" width="8" style="286"/>
    <col min="11521" max="11521" width="23.625" style="286" customWidth="1"/>
    <col min="11522" max="11522" width="11.375" style="286" customWidth="1"/>
    <col min="11523" max="11523" width="11.125" style="286" customWidth="1"/>
    <col min="11524" max="11524" width="10" style="286" customWidth="1"/>
    <col min="11525" max="11525" width="19" style="286" customWidth="1"/>
    <col min="11526" max="11526" width="13" style="286" customWidth="1"/>
    <col min="11527" max="11527" width="10.875" style="286" customWidth="1"/>
    <col min="11528" max="11528" width="14.625" style="286" customWidth="1"/>
    <col min="11529" max="11529" width="11.625" style="286" customWidth="1"/>
    <col min="11530" max="11530" width="12" style="286" customWidth="1"/>
    <col min="11531" max="11531" width="23.875" style="286" bestFit="1" customWidth="1"/>
    <col min="11532" max="11532" width="11" style="286" customWidth="1"/>
    <col min="11533" max="11536" width="8" style="286" customWidth="1"/>
    <col min="11537" max="11537" width="8.875" style="286" bestFit="1" customWidth="1"/>
    <col min="11538" max="11538" width="14.25" style="286" customWidth="1"/>
    <col min="11539" max="11539" width="11.875" style="286" customWidth="1"/>
    <col min="11540" max="11776" width="8" style="286"/>
    <col min="11777" max="11777" width="23.625" style="286" customWidth="1"/>
    <col min="11778" max="11778" width="11.375" style="286" customWidth="1"/>
    <col min="11779" max="11779" width="11.125" style="286" customWidth="1"/>
    <col min="11780" max="11780" width="10" style="286" customWidth="1"/>
    <col min="11781" max="11781" width="19" style="286" customWidth="1"/>
    <col min="11782" max="11782" width="13" style="286" customWidth="1"/>
    <col min="11783" max="11783" width="10.875" style="286" customWidth="1"/>
    <col min="11784" max="11784" width="14.625" style="286" customWidth="1"/>
    <col min="11785" max="11785" width="11.625" style="286" customWidth="1"/>
    <col min="11786" max="11786" width="12" style="286" customWidth="1"/>
    <col min="11787" max="11787" width="23.875" style="286" bestFit="1" customWidth="1"/>
    <col min="11788" max="11788" width="11" style="286" customWidth="1"/>
    <col min="11789" max="11792" width="8" style="286" customWidth="1"/>
    <col min="11793" max="11793" width="8.875" style="286" bestFit="1" customWidth="1"/>
    <col min="11794" max="11794" width="14.25" style="286" customWidth="1"/>
    <col min="11795" max="11795" width="11.875" style="286" customWidth="1"/>
    <col min="11796" max="12032" width="8" style="286"/>
    <col min="12033" max="12033" width="23.625" style="286" customWidth="1"/>
    <col min="12034" max="12034" width="11.375" style="286" customWidth="1"/>
    <col min="12035" max="12035" width="11.125" style="286" customWidth="1"/>
    <col min="12036" max="12036" width="10" style="286" customWidth="1"/>
    <col min="12037" max="12037" width="19" style="286" customWidth="1"/>
    <col min="12038" max="12038" width="13" style="286" customWidth="1"/>
    <col min="12039" max="12039" width="10.875" style="286" customWidth="1"/>
    <col min="12040" max="12040" width="14.625" style="286" customWidth="1"/>
    <col min="12041" max="12041" width="11.625" style="286" customWidth="1"/>
    <col min="12042" max="12042" width="12" style="286" customWidth="1"/>
    <col min="12043" max="12043" width="23.875" style="286" bestFit="1" customWidth="1"/>
    <col min="12044" max="12044" width="11" style="286" customWidth="1"/>
    <col min="12045" max="12048" width="8" style="286" customWidth="1"/>
    <col min="12049" max="12049" width="8.875" style="286" bestFit="1" customWidth="1"/>
    <col min="12050" max="12050" width="14.25" style="286" customWidth="1"/>
    <col min="12051" max="12051" width="11.875" style="286" customWidth="1"/>
    <col min="12052" max="12288" width="8" style="286"/>
    <col min="12289" max="12289" width="23.625" style="286" customWidth="1"/>
    <col min="12290" max="12290" width="11.375" style="286" customWidth="1"/>
    <col min="12291" max="12291" width="11.125" style="286" customWidth="1"/>
    <col min="12292" max="12292" width="10" style="286" customWidth="1"/>
    <col min="12293" max="12293" width="19" style="286" customWidth="1"/>
    <col min="12294" max="12294" width="13" style="286" customWidth="1"/>
    <col min="12295" max="12295" width="10.875" style="286" customWidth="1"/>
    <col min="12296" max="12296" width="14.625" style="286" customWidth="1"/>
    <col min="12297" max="12297" width="11.625" style="286" customWidth="1"/>
    <col min="12298" max="12298" width="12" style="286" customWidth="1"/>
    <col min="12299" max="12299" width="23.875" style="286" bestFit="1" customWidth="1"/>
    <col min="12300" max="12300" width="11" style="286" customWidth="1"/>
    <col min="12301" max="12304" width="8" style="286" customWidth="1"/>
    <col min="12305" max="12305" width="8.875" style="286" bestFit="1" customWidth="1"/>
    <col min="12306" max="12306" width="14.25" style="286" customWidth="1"/>
    <col min="12307" max="12307" width="11.875" style="286" customWidth="1"/>
    <col min="12308" max="12544" width="8" style="286"/>
    <col min="12545" max="12545" width="23.625" style="286" customWidth="1"/>
    <col min="12546" max="12546" width="11.375" style="286" customWidth="1"/>
    <col min="12547" max="12547" width="11.125" style="286" customWidth="1"/>
    <col min="12548" max="12548" width="10" style="286" customWidth="1"/>
    <col min="12549" max="12549" width="19" style="286" customWidth="1"/>
    <col min="12550" max="12550" width="13" style="286" customWidth="1"/>
    <col min="12551" max="12551" width="10.875" style="286" customWidth="1"/>
    <col min="12552" max="12552" width="14.625" style="286" customWidth="1"/>
    <col min="12553" max="12553" width="11.625" style="286" customWidth="1"/>
    <col min="12554" max="12554" width="12" style="286" customWidth="1"/>
    <col min="12555" max="12555" width="23.875" style="286" bestFit="1" customWidth="1"/>
    <col min="12556" max="12556" width="11" style="286" customWidth="1"/>
    <col min="12557" max="12560" width="8" style="286" customWidth="1"/>
    <col min="12561" max="12561" width="8.875" style="286" bestFit="1" customWidth="1"/>
    <col min="12562" max="12562" width="14.25" style="286" customWidth="1"/>
    <col min="12563" max="12563" width="11.875" style="286" customWidth="1"/>
    <col min="12564" max="12800" width="8" style="286"/>
    <col min="12801" max="12801" width="23.625" style="286" customWidth="1"/>
    <col min="12802" max="12802" width="11.375" style="286" customWidth="1"/>
    <col min="12803" max="12803" width="11.125" style="286" customWidth="1"/>
    <col min="12804" max="12804" width="10" style="286" customWidth="1"/>
    <col min="12805" max="12805" width="19" style="286" customWidth="1"/>
    <col min="12806" max="12806" width="13" style="286" customWidth="1"/>
    <col min="12807" max="12807" width="10.875" style="286" customWidth="1"/>
    <col min="12808" max="12808" width="14.625" style="286" customWidth="1"/>
    <col min="12809" max="12809" width="11.625" style="286" customWidth="1"/>
    <col min="12810" max="12810" width="12" style="286" customWidth="1"/>
    <col min="12811" max="12811" width="23.875" style="286" bestFit="1" customWidth="1"/>
    <col min="12812" max="12812" width="11" style="286" customWidth="1"/>
    <col min="12813" max="12816" width="8" style="286" customWidth="1"/>
    <col min="12817" max="12817" width="8.875" style="286" bestFit="1" customWidth="1"/>
    <col min="12818" max="12818" width="14.25" style="286" customWidth="1"/>
    <col min="12819" max="12819" width="11.875" style="286" customWidth="1"/>
    <col min="12820" max="13056" width="8" style="286"/>
    <col min="13057" max="13057" width="23.625" style="286" customWidth="1"/>
    <col min="13058" max="13058" width="11.375" style="286" customWidth="1"/>
    <col min="13059" max="13059" width="11.125" style="286" customWidth="1"/>
    <col min="13060" max="13060" width="10" style="286" customWidth="1"/>
    <col min="13061" max="13061" width="19" style="286" customWidth="1"/>
    <col min="13062" max="13062" width="13" style="286" customWidth="1"/>
    <col min="13063" max="13063" width="10.875" style="286" customWidth="1"/>
    <col min="13064" max="13064" width="14.625" style="286" customWidth="1"/>
    <col min="13065" max="13065" width="11.625" style="286" customWidth="1"/>
    <col min="13066" max="13066" width="12" style="286" customWidth="1"/>
    <col min="13067" max="13067" width="23.875" style="286" bestFit="1" customWidth="1"/>
    <col min="13068" max="13068" width="11" style="286" customWidth="1"/>
    <col min="13069" max="13072" width="8" style="286" customWidth="1"/>
    <col min="13073" max="13073" width="8.875" style="286" bestFit="1" customWidth="1"/>
    <col min="13074" max="13074" width="14.25" style="286" customWidth="1"/>
    <col min="13075" max="13075" width="11.875" style="286" customWidth="1"/>
    <col min="13076" max="13312" width="8" style="286"/>
    <col min="13313" max="13313" width="23.625" style="286" customWidth="1"/>
    <col min="13314" max="13314" width="11.375" style="286" customWidth="1"/>
    <col min="13315" max="13315" width="11.125" style="286" customWidth="1"/>
    <col min="13316" max="13316" width="10" style="286" customWidth="1"/>
    <col min="13317" max="13317" width="19" style="286" customWidth="1"/>
    <col min="13318" max="13318" width="13" style="286" customWidth="1"/>
    <col min="13319" max="13319" width="10.875" style="286" customWidth="1"/>
    <col min="13320" max="13320" width="14.625" style="286" customWidth="1"/>
    <col min="13321" max="13321" width="11.625" style="286" customWidth="1"/>
    <col min="13322" max="13322" width="12" style="286" customWidth="1"/>
    <col min="13323" max="13323" width="23.875" style="286" bestFit="1" customWidth="1"/>
    <col min="13324" max="13324" width="11" style="286" customWidth="1"/>
    <col min="13325" max="13328" width="8" style="286" customWidth="1"/>
    <col min="13329" max="13329" width="8.875" style="286" bestFit="1" customWidth="1"/>
    <col min="13330" max="13330" width="14.25" style="286" customWidth="1"/>
    <col min="13331" max="13331" width="11.875" style="286" customWidth="1"/>
    <col min="13332" max="13568" width="8" style="286"/>
    <col min="13569" max="13569" width="23.625" style="286" customWidth="1"/>
    <col min="13570" max="13570" width="11.375" style="286" customWidth="1"/>
    <col min="13571" max="13571" width="11.125" style="286" customWidth="1"/>
    <col min="13572" max="13572" width="10" style="286" customWidth="1"/>
    <col min="13573" max="13573" width="19" style="286" customWidth="1"/>
    <col min="13574" max="13574" width="13" style="286" customWidth="1"/>
    <col min="13575" max="13575" width="10.875" style="286" customWidth="1"/>
    <col min="13576" max="13576" width="14.625" style="286" customWidth="1"/>
    <col min="13577" max="13577" width="11.625" style="286" customWidth="1"/>
    <col min="13578" max="13578" width="12" style="286" customWidth="1"/>
    <col min="13579" max="13579" width="23.875" style="286" bestFit="1" customWidth="1"/>
    <col min="13580" max="13580" width="11" style="286" customWidth="1"/>
    <col min="13581" max="13584" width="8" style="286" customWidth="1"/>
    <col min="13585" max="13585" width="8.875" style="286" bestFit="1" customWidth="1"/>
    <col min="13586" max="13586" width="14.25" style="286" customWidth="1"/>
    <col min="13587" max="13587" width="11.875" style="286" customWidth="1"/>
    <col min="13588" max="13824" width="8" style="286"/>
    <col min="13825" max="13825" width="23.625" style="286" customWidth="1"/>
    <col min="13826" max="13826" width="11.375" style="286" customWidth="1"/>
    <col min="13827" max="13827" width="11.125" style="286" customWidth="1"/>
    <col min="13828" max="13828" width="10" style="286" customWidth="1"/>
    <col min="13829" max="13829" width="19" style="286" customWidth="1"/>
    <col min="13830" max="13830" width="13" style="286" customWidth="1"/>
    <col min="13831" max="13831" width="10.875" style="286" customWidth="1"/>
    <col min="13832" max="13832" width="14.625" style="286" customWidth="1"/>
    <col min="13833" max="13833" width="11.625" style="286" customWidth="1"/>
    <col min="13834" max="13834" width="12" style="286" customWidth="1"/>
    <col min="13835" max="13835" width="23.875" style="286" bestFit="1" customWidth="1"/>
    <col min="13836" max="13836" width="11" style="286" customWidth="1"/>
    <col min="13837" max="13840" width="8" style="286" customWidth="1"/>
    <col min="13841" max="13841" width="8.875" style="286" bestFit="1" customWidth="1"/>
    <col min="13842" max="13842" width="14.25" style="286" customWidth="1"/>
    <col min="13843" max="13843" width="11.875" style="286" customWidth="1"/>
    <col min="13844" max="14080" width="8" style="286"/>
    <col min="14081" max="14081" width="23.625" style="286" customWidth="1"/>
    <col min="14082" max="14082" width="11.375" style="286" customWidth="1"/>
    <col min="14083" max="14083" width="11.125" style="286" customWidth="1"/>
    <col min="14084" max="14084" width="10" style="286" customWidth="1"/>
    <col min="14085" max="14085" width="19" style="286" customWidth="1"/>
    <col min="14086" max="14086" width="13" style="286" customWidth="1"/>
    <col min="14087" max="14087" width="10.875" style="286" customWidth="1"/>
    <col min="14088" max="14088" width="14.625" style="286" customWidth="1"/>
    <col min="14089" max="14089" width="11.625" style="286" customWidth="1"/>
    <col min="14090" max="14090" width="12" style="286" customWidth="1"/>
    <col min="14091" max="14091" width="23.875" style="286" bestFit="1" customWidth="1"/>
    <col min="14092" max="14092" width="11" style="286" customWidth="1"/>
    <col min="14093" max="14096" width="8" style="286" customWidth="1"/>
    <col min="14097" max="14097" width="8.875" style="286" bestFit="1" customWidth="1"/>
    <col min="14098" max="14098" width="14.25" style="286" customWidth="1"/>
    <col min="14099" max="14099" width="11.875" style="286" customWidth="1"/>
    <col min="14100" max="14336" width="8" style="286"/>
    <col min="14337" max="14337" width="23.625" style="286" customWidth="1"/>
    <col min="14338" max="14338" width="11.375" style="286" customWidth="1"/>
    <col min="14339" max="14339" width="11.125" style="286" customWidth="1"/>
    <col min="14340" max="14340" width="10" style="286" customWidth="1"/>
    <col min="14341" max="14341" width="19" style="286" customWidth="1"/>
    <col min="14342" max="14342" width="13" style="286" customWidth="1"/>
    <col min="14343" max="14343" width="10.875" style="286" customWidth="1"/>
    <col min="14344" max="14344" width="14.625" style="286" customWidth="1"/>
    <col min="14345" max="14345" width="11.625" style="286" customWidth="1"/>
    <col min="14346" max="14346" width="12" style="286" customWidth="1"/>
    <col min="14347" max="14347" width="23.875" style="286" bestFit="1" customWidth="1"/>
    <col min="14348" max="14348" width="11" style="286" customWidth="1"/>
    <col min="14349" max="14352" width="8" style="286" customWidth="1"/>
    <col min="14353" max="14353" width="8.875" style="286" bestFit="1" customWidth="1"/>
    <col min="14354" max="14354" width="14.25" style="286" customWidth="1"/>
    <col min="14355" max="14355" width="11.875" style="286" customWidth="1"/>
    <col min="14356" max="14592" width="8" style="286"/>
    <col min="14593" max="14593" width="23.625" style="286" customWidth="1"/>
    <col min="14594" max="14594" width="11.375" style="286" customWidth="1"/>
    <col min="14595" max="14595" width="11.125" style="286" customWidth="1"/>
    <col min="14596" max="14596" width="10" style="286" customWidth="1"/>
    <col min="14597" max="14597" width="19" style="286" customWidth="1"/>
    <col min="14598" max="14598" width="13" style="286" customWidth="1"/>
    <col min="14599" max="14599" width="10.875" style="286" customWidth="1"/>
    <col min="14600" max="14600" width="14.625" style="286" customWidth="1"/>
    <col min="14601" max="14601" width="11.625" style="286" customWidth="1"/>
    <col min="14602" max="14602" width="12" style="286" customWidth="1"/>
    <col min="14603" max="14603" width="23.875" style="286" bestFit="1" customWidth="1"/>
    <col min="14604" max="14604" width="11" style="286" customWidth="1"/>
    <col min="14605" max="14608" width="8" style="286" customWidth="1"/>
    <col min="14609" max="14609" width="8.875" style="286" bestFit="1" customWidth="1"/>
    <col min="14610" max="14610" width="14.25" style="286" customWidth="1"/>
    <col min="14611" max="14611" width="11.875" style="286" customWidth="1"/>
    <col min="14612" max="14848" width="8" style="286"/>
    <col min="14849" max="14849" width="23.625" style="286" customWidth="1"/>
    <col min="14850" max="14850" width="11.375" style="286" customWidth="1"/>
    <col min="14851" max="14851" width="11.125" style="286" customWidth="1"/>
    <col min="14852" max="14852" width="10" style="286" customWidth="1"/>
    <col min="14853" max="14853" width="19" style="286" customWidth="1"/>
    <col min="14854" max="14854" width="13" style="286" customWidth="1"/>
    <col min="14855" max="14855" width="10.875" style="286" customWidth="1"/>
    <col min="14856" max="14856" width="14.625" style="286" customWidth="1"/>
    <col min="14857" max="14857" width="11.625" style="286" customWidth="1"/>
    <col min="14858" max="14858" width="12" style="286" customWidth="1"/>
    <col min="14859" max="14859" width="23.875" style="286" bestFit="1" customWidth="1"/>
    <col min="14860" max="14860" width="11" style="286" customWidth="1"/>
    <col min="14861" max="14864" width="8" style="286" customWidth="1"/>
    <col min="14865" max="14865" width="8.875" style="286" bestFit="1" customWidth="1"/>
    <col min="14866" max="14866" width="14.25" style="286" customWidth="1"/>
    <col min="14867" max="14867" width="11.875" style="286" customWidth="1"/>
    <col min="14868" max="15104" width="8" style="286"/>
    <col min="15105" max="15105" width="23.625" style="286" customWidth="1"/>
    <col min="15106" max="15106" width="11.375" style="286" customWidth="1"/>
    <col min="15107" max="15107" width="11.125" style="286" customWidth="1"/>
    <col min="15108" max="15108" width="10" style="286" customWidth="1"/>
    <col min="15109" max="15109" width="19" style="286" customWidth="1"/>
    <col min="15110" max="15110" width="13" style="286" customWidth="1"/>
    <col min="15111" max="15111" width="10.875" style="286" customWidth="1"/>
    <col min="15112" max="15112" width="14.625" style="286" customWidth="1"/>
    <col min="15113" max="15113" width="11.625" style="286" customWidth="1"/>
    <col min="15114" max="15114" width="12" style="286" customWidth="1"/>
    <col min="15115" max="15115" width="23.875" style="286" bestFit="1" customWidth="1"/>
    <col min="15116" max="15116" width="11" style="286" customWidth="1"/>
    <col min="15117" max="15120" width="8" style="286" customWidth="1"/>
    <col min="15121" max="15121" width="8.875" style="286" bestFit="1" customWidth="1"/>
    <col min="15122" max="15122" width="14.25" style="286" customWidth="1"/>
    <col min="15123" max="15123" width="11.875" style="286" customWidth="1"/>
    <col min="15124" max="15360" width="8" style="286"/>
    <col min="15361" max="15361" width="23.625" style="286" customWidth="1"/>
    <col min="15362" max="15362" width="11.375" style="286" customWidth="1"/>
    <col min="15363" max="15363" width="11.125" style="286" customWidth="1"/>
    <col min="15364" max="15364" width="10" style="286" customWidth="1"/>
    <col min="15365" max="15365" width="19" style="286" customWidth="1"/>
    <col min="15366" max="15366" width="13" style="286" customWidth="1"/>
    <col min="15367" max="15367" width="10.875" style="286" customWidth="1"/>
    <col min="15368" max="15368" width="14.625" style="286" customWidth="1"/>
    <col min="15369" max="15369" width="11.625" style="286" customWidth="1"/>
    <col min="15370" max="15370" width="12" style="286" customWidth="1"/>
    <col min="15371" max="15371" width="23.875" style="286" bestFit="1" customWidth="1"/>
    <col min="15372" max="15372" width="11" style="286" customWidth="1"/>
    <col min="15373" max="15376" width="8" style="286" customWidth="1"/>
    <col min="15377" max="15377" width="8.875" style="286" bestFit="1" customWidth="1"/>
    <col min="15378" max="15378" width="14.25" style="286" customWidth="1"/>
    <col min="15379" max="15379" width="11.875" style="286" customWidth="1"/>
    <col min="15380" max="15616" width="8" style="286"/>
    <col min="15617" max="15617" width="23.625" style="286" customWidth="1"/>
    <col min="15618" max="15618" width="11.375" style="286" customWidth="1"/>
    <col min="15619" max="15619" width="11.125" style="286" customWidth="1"/>
    <col min="15620" max="15620" width="10" style="286" customWidth="1"/>
    <col min="15621" max="15621" width="19" style="286" customWidth="1"/>
    <col min="15622" max="15622" width="13" style="286" customWidth="1"/>
    <col min="15623" max="15623" width="10.875" style="286" customWidth="1"/>
    <col min="15624" max="15624" width="14.625" style="286" customWidth="1"/>
    <col min="15625" max="15625" width="11.625" style="286" customWidth="1"/>
    <col min="15626" max="15626" width="12" style="286" customWidth="1"/>
    <col min="15627" max="15627" width="23.875" style="286" bestFit="1" customWidth="1"/>
    <col min="15628" max="15628" width="11" style="286" customWidth="1"/>
    <col min="15629" max="15632" width="8" style="286" customWidth="1"/>
    <col min="15633" max="15633" width="8.875" style="286" bestFit="1" customWidth="1"/>
    <col min="15634" max="15634" width="14.25" style="286" customWidth="1"/>
    <col min="15635" max="15635" width="11.875" style="286" customWidth="1"/>
    <col min="15636" max="15872" width="8" style="286"/>
    <col min="15873" max="15873" width="23.625" style="286" customWidth="1"/>
    <col min="15874" max="15874" width="11.375" style="286" customWidth="1"/>
    <col min="15875" max="15875" width="11.125" style="286" customWidth="1"/>
    <col min="15876" max="15876" width="10" style="286" customWidth="1"/>
    <col min="15877" max="15877" width="19" style="286" customWidth="1"/>
    <col min="15878" max="15878" width="13" style="286" customWidth="1"/>
    <col min="15879" max="15879" width="10.875" style="286" customWidth="1"/>
    <col min="15880" max="15880" width="14.625" style="286" customWidth="1"/>
    <col min="15881" max="15881" width="11.625" style="286" customWidth="1"/>
    <col min="15882" max="15882" width="12" style="286" customWidth="1"/>
    <col min="15883" max="15883" width="23.875" style="286" bestFit="1" customWidth="1"/>
    <col min="15884" max="15884" width="11" style="286" customWidth="1"/>
    <col min="15885" max="15888" width="8" style="286" customWidth="1"/>
    <col min="15889" max="15889" width="8.875" style="286" bestFit="1" customWidth="1"/>
    <col min="15890" max="15890" width="14.25" style="286" customWidth="1"/>
    <col min="15891" max="15891" width="11.875" style="286" customWidth="1"/>
    <col min="15892" max="16128" width="8" style="286"/>
    <col min="16129" max="16129" width="23.625" style="286" customWidth="1"/>
    <col min="16130" max="16130" width="11.375" style="286" customWidth="1"/>
    <col min="16131" max="16131" width="11.125" style="286" customWidth="1"/>
    <col min="16132" max="16132" width="10" style="286" customWidth="1"/>
    <col min="16133" max="16133" width="19" style="286" customWidth="1"/>
    <col min="16134" max="16134" width="13" style="286" customWidth="1"/>
    <col min="16135" max="16135" width="10.875" style="286" customWidth="1"/>
    <col min="16136" max="16136" width="14.625" style="286" customWidth="1"/>
    <col min="16137" max="16137" width="11.625" style="286" customWidth="1"/>
    <col min="16138" max="16138" width="12" style="286" customWidth="1"/>
    <col min="16139" max="16139" width="23.875" style="286" bestFit="1" customWidth="1"/>
    <col min="16140" max="16140" width="11" style="286" customWidth="1"/>
    <col min="16141" max="16144" width="8" style="286" customWidth="1"/>
    <col min="16145" max="16145" width="8.875" style="286" bestFit="1" customWidth="1"/>
    <col min="16146" max="16146" width="14.25" style="286" customWidth="1"/>
    <col min="16147" max="16147" width="11.875" style="286" customWidth="1"/>
    <col min="16148" max="16384" width="8" style="286"/>
  </cols>
  <sheetData>
    <row r="14" spans="8:8">
      <c r="H14" s="285"/>
    </row>
    <row r="18" spans="11:21">
      <c r="K18" s="294" t="e">
        <f>TongDT!J69</f>
        <v>#REF!</v>
      </c>
      <c r="L18" s="287" t="e">
        <f>"(B»ng ch÷: "&amp;IF(Q22="","",Q23)&amp;IF(R22="","",R23)&amp;IF(S22="","",S23)&amp;IF(T22="","",T23)&amp;IF(U22="","",U23)&amp;")"</f>
        <v>#REF!</v>
      </c>
    </row>
    <row r="19" spans="11:21">
      <c r="K19" s="288"/>
    </row>
    <row r="20" spans="11:21">
      <c r="L20" s="289">
        <v>0</v>
      </c>
      <c r="M20" s="290"/>
      <c r="N20" s="290"/>
      <c r="O20" s="290" t="s">
        <v>1031</v>
      </c>
      <c r="P20" s="290" t="s">
        <v>1032</v>
      </c>
      <c r="Q20" s="289"/>
      <c r="R20" s="289"/>
      <c r="S20" s="289"/>
      <c r="T20" s="289"/>
      <c r="U20" s="289"/>
    </row>
    <row r="21" spans="11:21">
      <c r="L21" s="289">
        <v>1</v>
      </c>
      <c r="M21" s="290" t="s">
        <v>1033</v>
      </c>
      <c r="N21" s="290" t="s">
        <v>1034</v>
      </c>
      <c r="O21" s="290" t="s">
        <v>1035</v>
      </c>
      <c r="P21" s="290" t="s">
        <v>1036</v>
      </c>
      <c r="Q21" s="289"/>
      <c r="R21" s="289"/>
      <c r="S21" s="289"/>
      <c r="T21" s="289"/>
      <c r="U21" s="289"/>
    </row>
    <row r="22" spans="11:21">
      <c r="L22" s="289">
        <v>2</v>
      </c>
      <c r="M22" s="290" t="s">
        <v>1037</v>
      </c>
      <c r="N22" s="290" t="s">
        <v>1037</v>
      </c>
      <c r="O22" s="290" t="str">
        <f>N22&amp;" m­¬i"</f>
        <v>hai m­¬i</v>
      </c>
      <c r="P22" s="290" t="str">
        <f>N22&amp;" tr¨m"</f>
        <v>hai tr¨m</v>
      </c>
      <c r="Q22" s="291" t="e">
        <f>RIGHT(LEFT(K18,LEN(K18)-LEN(R22)-LEN(S22)-LEN(T22)-LEN(U22)),3)</f>
        <v>#REF!</v>
      </c>
      <c r="R22" s="289" t="e">
        <f>RIGHT(LEFT(K18,LEN(K18)-LEN(S22)-LEN(T22)-LEN(U22)),3)</f>
        <v>#REF!</v>
      </c>
      <c r="S22" s="289" t="e">
        <f>RIGHT(LEFT(K18,LEN(K18)-LEN(T22)-LEN(U22)),3)</f>
        <v>#REF!</v>
      </c>
      <c r="T22" s="292" t="e">
        <f>RIGHT(LEFT(K18,LEN(K18)-LEN(U22)),3)</f>
        <v>#REF!</v>
      </c>
      <c r="U22" s="289" t="e">
        <f>RIGHT(LEFT(K18,LEN(K18)),3)</f>
        <v>#REF!</v>
      </c>
    </row>
    <row r="23" spans="11:21">
      <c r="L23" s="289">
        <v>3</v>
      </c>
      <c r="M23" s="290" t="s">
        <v>1038</v>
      </c>
      <c r="N23" s="290" t="s">
        <v>1038</v>
      </c>
      <c r="O23" s="290" t="str">
        <f>N23&amp;" m­¬i"</f>
        <v>ba m­¬i</v>
      </c>
      <c r="P23" s="290" t="str">
        <f>N23&amp;" tr¨m"</f>
        <v>ba tr¨m</v>
      </c>
      <c r="Q23" s="293" t="e">
        <f>IF(Q22*1=0," kh«ng",IF(LEN(Q22)=1,VLOOKUP(Q22*1,$L$20:$P$29,2,0),IF(LEN(Q22)=2,VLOOKUP(LEFT(Q22,1)*1,$L$20:$P$29,4,0)&amp;" "&amp;VLOOKUP(RIGHT(Q22,1)*1,$L$20:$P$29,2,0),VLOOKUP(LEFT(Q22,1)*1,$L$20:$P$29,5,0)&amp;" "&amp;IF(AND(MID(Q22,2,1)*1=0,RIGHT(Q22,1)*1=0),"",VLOOKUP(MID(Q22,2,1)*1,$L$20:$P$29,4,0))&amp;" "&amp;VLOOKUP(RIGHT(Q22,1)*1,$L$20:$P$29,3,0))))&amp;" ngµn "</f>
        <v>#REF!</v>
      </c>
      <c r="R23" s="293" t="e">
        <f>IF(AND(R22*1=0,S22*1&lt;&gt;0)," kh«ng",IF(R22*1+S22*1+T22*1+U22*1=0,"",IF(LEN(R22)=1,VLOOKUP(R22*1,$L$20:$P$29,2,0)&amp;" tû ",IF(LEN(R22)=2,VLOOKUP(LEFT(R22,1)*1,$L$20:$P$29,4,0)&amp;" "&amp;VLOOKUP(RIGHT(R22,1)*1,$L$20:$P$29,2,0)&amp;" tû ",VLOOKUP(LEFT(R22,1)*1,$L$20:$P$29,5,0)&amp;" "&amp;IF(AND(MID(R22,2,1)*1=0,RIGHT(R22,1)*1=0),"",VLOOKUP(MID(R22,2,1)*1,$L$20:$P$29,4,0))&amp;" "&amp;VLOOKUP(RIGHT(R22,1)*1,$L$20:$P$29,3,0)&amp;" tû "))))</f>
        <v>#REF!</v>
      </c>
      <c r="S23" s="293" t="e">
        <f>IF(AND(S22*1=0,T22*1&lt;&gt;0)," kh«ng",IF(S22*1+T22*1+U22*1=0," ",IF(LEN(S22)=1,VLOOKUP(S22*1,$L$20:$P$29,2,0)&amp;" triÖu ",IF(LEN(S22)=2,VLOOKUP(LEFT(S22,1)*1,$L$20:$P$29,4,0)&amp;" "&amp;VLOOKUP(RIGHT(S22,1)*1,$L$20:$P$29,2,0)&amp;" triÖu ",VLOOKUP(LEFT(S22,1)*1,$L$20:$P$29,5,0)&amp;" "&amp;IF(AND(MID(S22,2,1)*1=0,RIGHT(S22,1)*1=0)," ",VLOOKUP(MID(S22,2,1)*1,$L$20:$P$29,4,0))&amp;" "&amp;VLOOKUP(RIGHT(S22,1)*1,$L$20:$P$29,3,0)&amp;" triÖu "))))</f>
        <v>#REF!</v>
      </c>
      <c r="T23" s="293" t="e">
        <f>IF(AND(T22*1=0,U22*1&lt;&gt;0)," kh«ng",IF(T22*1+U22*1=0,"",IF(LEN(T22)=1,VLOOKUP(T22*1,$L$20:$P$29,2,0)&amp;" ngµn ",IF(LEN(T22)=2,VLOOKUP(LEFT(T22,1)*1,$L$20:$P$29,4,0)&amp;" "&amp;VLOOKUP(RIGHT(T22,1)*1,$L$20:$P$29,2,0)&amp;" ngµn ",VLOOKUP(LEFT(T22,1)*1,$L$20:$P$29,5,0)&amp;" "&amp;IF(AND(MID(T22,2,1)*1=0,RIGHT(T22,1)*1=0),"",VLOOKUP(MID(T22,2,1)*1,$L$20:$P$29,4,0))&amp;" "&amp;VLOOKUP(RIGHT(T22,1)*1,$L$20:$P$29,3,0)&amp;" ngµn "))))</f>
        <v>#REF!</v>
      </c>
      <c r="U23" s="293" t="e">
        <f>IF(U22*1=0,"",IF(LEN(U22)=1,VLOOKUP(U22*1,$L$20:$P$29,2,0),IF(LEN(U22)=2,VLOOKUP(LEFT(U22,1)*1,$L$20:$P$29,4,0)&amp;" "&amp;VLOOKUP(RIGHT(U22,1)*1,$L$20:$P$29,2,0),VLOOKUP(LEFT(U22,1)*1,$L$20:$P$29,5,0)&amp;" "&amp;IF(AND(MID(U22,2,1)*1=0,RIGHT(U22,1)*1=0),"",VLOOKUP(MID(U22,2,1)*1,$L$20:$P$29,4,0))&amp;" "&amp;VLOOKUP(RIGHT(U22,1)*1,$L$20:$P$29,3,0))))&amp;IF(U22*1=0," ®ång ch½n."," ®ång.")</f>
        <v>#REF!</v>
      </c>
    </row>
    <row r="24" spans="11:21">
      <c r="L24" s="289">
        <v>4</v>
      </c>
      <c r="M24" s="290" t="s">
        <v>1039</v>
      </c>
      <c r="N24" s="290" t="s">
        <v>1039</v>
      </c>
      <c r="O24" s="290" t="str">
        <f>N24&amp;" m­¬i"</f>
        <v>bèn m­¬i</v>
      </c>
      <c r="P24" s="290" t="str">
        <f>N24&amp;" tr¨m"</f>
        <v>bèn tr¨m</v>
      </c>
      <c r="Q24" s="289"/>
      <c r="R24" s="289"/>
      <c r="S24" s="289"/>
      <c r="T24" s="289"/>
      <c r="U24" s="289"/>
    </row>
    <row r="25" spans="11:21">
      <c r="L25" s="289">
        <v>5</v>
      </c>
      <c r="M25" s="290" t="s">
        <v>1040</v>
      </c>
      <c r="N25" s="290" t="s">
        <v>1041</v>
      </c>
      <c r="O25" s="290" t="str">
        <f>M25&amp;" m­¬i"</f>
        <v>n¨m m­¬i</v>
      </c>
      <c r="P25" s="290" t="str">
        <f>M25&amp;" tr¨m"</f>
        <v>n¨m tr¨m</v>
      </c>
      <c r="Q25" s="289"/>
      <c r="R25" s="289"/>
      <c r="S25" s="289"/>
      <c r="T25" s="289"/>
      <c r="U25" s="289"/>
    </row>
    <row r="26" spans="11:21">
      <c r="L26" s="289">
        <v>6</v>
      </c>
      <c r="M26" s="290" t="s">
        <v>1042</v>
      </c>
      <c r="N26" s="290" t="s">
        <v>1042</v>
      </c>
      <c r="O26" s="290" t="str">
        <f>N26&amp;" m­¬i"</f>
        <v>s¸u m­¬i</v>
      </c>
      <c r="P26" s="290" t="str">
        <f>N26&amp;" tr¨m"</f>
        <v>s¸u tr¨m</v>
      </c>
      <c r="Q26" s="289"/>
      <c r="R26" s="289"/>
      <c r="S26" s="289"/>
      <c r="T26" s="289"/>
      <c r="U26" s="289"/>
    </row>
    <row r="27" spans="11:21">
      <c r="L27" s="289">
        <v>7</v>
      </c>
      <c r="M27" s="290" t="s">
        <v>1043</v>
      </c>
      <c r="N27" s="290" t="s">
        <v>1043</v>
      </c>
      <c r="O27" s="290" t="str">
        <f>N27&amp;" m­¬i"</f>
        <v>b¶y m­¬i</v>
      </c>
      <c r="P27" s="290" t="str">
        <f>N27&amp;" tr¨m"</f>
        <v>b¶y tr¨m</v>
      </c>
      <c r="Q27" s="289"/>
      <c r="R27" s="289"/>
      <c r="S27" s="289"/>
      <c r="T27" s="289"/>
      <c r="U27" s="289"/>
    </row>
    <row r="28" spans="11:21">
      <c r="L28" s="289">
        <v>8</v>
      </c>
      <c r="M28" s="290" t="s">
        <v>1044</v>
      </c>
      <c r="N28" s="290" t="s">
        <v>1044</v>
      </c>
      <c r="O28" s="290" t="str">
        <f>N28&amp;" m­¬i"</f>
        <v>t¸m m­¬i</v>
      </c>
      <c r="P28" s="290" t="str">
        <f>N28&amp;" tr¨m"</f>
        <v>t¸m tr¨m</v>
      </c>
      <c r="Q28" s="289"/>
      <c r="R28" s="289"/>
      <c r="S28" s="289"/>
      <c r="T28" s="289"/>
      <c r="U28" s="289"/>
    </row>
    <row r="29" spans="11:21">
      <c r="L29" s="289">
        <v>9</v>
      </c>
      <c r="M29" s="290" t="s">
        <v>1045</v>
      </c>
      <c r="N29" s="290" t="s">
        <v>1045</v>
      </c>
      <c r="O29" s="290" t="str">
        <f>N29&amp;" m­¬i"</f>
        <v>chÝn m­¬i</v>
      </c>
      <c r="P29" s="290" t="str">
        <f>N29&amp;" tr¨m"</f>
        <v>chÝn tr¨m</v>
      </c>
      <c r="Q29" s="289"/>
      <c r="R29" s="289"/>
      <c r="S29" s="289"/>
      <c r="T29" s="289"/>
      <c r="U29" s="289"/>
    </row>
  </sheetData>
  <sheetProtection password="E014" sheet="1" objects="1" scenarios="1" formatCells="0" formatColumns="0" formatRows="0" insertColumns="0" insertRows="0" insertHyperlinks="0" sort="0" autoFilter="0" pivotTables="0"/>
  <pageMargins left="0.7" right="0.7"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563F9-17F6-4165-8D01-D1E248A9EFEA}">
  <dimension ref="A1"/>
  <sheetViews>
    <sheetView workbookViewId="0"/>
  </sheetViews>
  <sheetFormatPr defaultRowHeight="1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DB650-9C22-4309-9536-D837C06BEA41}">
  <dimension ref="A1"/>
  <sheetViews>
    <sheetView workbookViewId="0"/>
  </sheetViews>
  <sheetFormatPr defaultRowHeight="15"/>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20B65-9FBA-4E1B-B89A-929AED2642D6}">
  <dimension ref="A1"/>
  <sheetViews>
    <sheetView workbookViewId="0"/>
  </sheetViews>
  <sheetFormatPr defaultRowHeight="15"/>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6858D-04D3-46BC-9688-FB9C9212E0EF}">
  <dimension ref="A1"/>
  <sheetViews>
    <sheetView workbookViewId="0"/>
  </sheetViews>
  <sheetFormatPr defaultRowHeight="15"/>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38145-7C4D-4D2D-98BD-4D76AB827EF0}">
  <dimension ref="A1"/>
  <sheetViews>
    <sheetView workbookViewId="0"/>
  </sheetViews>
  <sheetFormatPr defaultRowHeight="1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0AB9E-8DD7-4C95-98B6-AF33C06DABA9}">
  <dimension ref="A1"/>
  <sheetViews>
    <sheetView workbookViewId="0"/>
  </sheetViews>
  <sheetFormatPr defaultRowHeight="15"/>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55DA1-0C79-4E98-9441-19D0D9A43A68}">
  <dimension ref="A1"/>
  <sheetViews>
    <sheetView workbookViewId="0"/>
  </sheetViews>
  <sheetFormatPr defaultRowHeight="15"/>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F314C-619F-4F3F-A829-300B3C395787}">
  <dimension ref="A1"/>
  <sheetViews>
    <sheetView workbookViewId="0"/>
  </sheetViews>
  <sheetFormatPr defaultRowHeight="1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7FCC3-6CFE-4976-A7ED-A0159DEE1B7B}">
  <dimension ref="A1"/>
  <sheetViews>
    <sheetView workbookViewId="0"/>
  </sheetViews>
  <sheetFormatPr defaultRowHeight="15"/>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B736E-9477-486B-AFE7-FC74A9A42A7E}">
  <dimension ref="A1"/>
  <sheetViews>
    <sheetView workbookViewId="0"/>
  </sheetViews>
  <sheetFormatPr defaultRowHeight="15"/>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0B59C-73AB-4C4B-9894-C7B6EC513B17}">
  <dimension ref="A1"/>
  <sheetViews>
    <sheetView workbookViewId="0"/>
  </sheetViews>
  <sheetFormatPr defaultRowHeight="15"/>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063A1-5E5D-4B42-9647-379C9BC9C6AE}">
  <dimension ref="A1"/>
  <sheetViews>
    <sheetView workbookViewId="0"/>
  </sheetViews>
  <sheetFormatPr defaultRowHeight="15"/>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930F1-B15A-4C33-BA30-C2A6090CA24A}">
  <dimension ref="A1"/>
  <sheetViews>
    <sheetView workbookViewId="0"/>
  </sheetViews>
  <sheetFormatPr defaultRowHeight="15"/>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E243A-2F86-46FB-9AE2-B4C88A67108E}">
  <dimension ref="A1"/>
  <sheetViews>
    <sheetView workbookViewId="0"/>
  </sheetViews>
  <sheetFormatPr defaultRowHeight="15"/>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3F1BD-2C42-4BFA-B288-5C90B31B1DB4}">
  <dimension ref="A1"/>
  <sheetViews>
    <sheetView workbookViewId="0"/>
  </sheetViews>
  <sheetFormatPr defaultRowHeight="15"/>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B74EA-B136-47B9-B745-964D5238C697}">
  <dimension ref="A1"/>
  <sheetViews>
    <sheetView workbookViewId="0"/>
  </sheetViews>
  <sheetFormatPr defaultRowHeight="15"/>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2EE7D-B485-4CEA-8C71-A681E0126252}">
  <dimension ref="A1"/>
  <sheetViews>
    <sheetView workbookViewId="0"/>
  </sheetViews>
  <sheetFormatPr defaultRowHeight="15"/>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0C871-7EA4-41EF-9BDB-9E439DE74600}">
  <dimension ref="A1"/>
  <sheetViews>
    <sheetView workbookViewId="0"/>
  </sheetViews>
  <sheetFormatPr defaultRowHeight="15"/>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FA681-4FB4-48B0-89A6-2DEBB2772AC4}">
  <dimension ref="A1"/>
  <sheetViews>
    <sheetView workbookViewId="0"/>
  </sheetViews>
  <sheetFormatPr defaultRowHeight="15"/>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A59F6-F41F-4136-AC27-96EDF96BADEA}">
  <dimension ref="A1"/>
  <sheetViews>
    <sheetView workbookViewId="0"/>
  </sheetViews>
  <sheetFormatPr defaultRowHeight="15"/>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A2C5D-5F97-48BA-8B2C-6F4D5E96CC11}">
  <dimension ref="A1"/>
  <sheetViews>
    <sheetView workbookViewId="0"/>
  </sheetViews>
  <sheetFormatPr defaultRowHeight="15"/>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17C82-1FAC-4304-A7EB-517CB7553498}">
  <dimension ref="A1"/>
  <sheetViews>
    <sheetView workbookViewId="0"/>
  </sheetViews>
  <sheetFormatPr defaultRowHeight="15"/>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A88A0-C210-4D51-9BB6-FF964FDA2E0D}">
  <dimension ref="A1"/>
  <sheetViews>
    <sheetView workbookViewId="0"/>
  </sheetViews>
  <sheetFormatPr defaultRowHeight="15"/>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9B35A-D5DD-45E0-BE1F-4C1851C339AA}">
  <dimension ref="A1"/>
  <sheetViews>
    <sheetView workbookViewId="0"/>
  </sheetViews>
  <sheetFormatPr defaultRowHeight="15"/>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2898B-BA85-458C-BD5A-28819A4515A9}">
  <dimension ref="A1"/>
  <sheetViews>
    <sheetView workbookViewId="0"/>
  </sheetViews>
  <sheetFormatPr defaultRowHeight="15"/>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B4592-DDF7-4353-9BA8-6B8C29EF15BF}">
  <dimension ref="A1"/>
  <sheetViews>
    <sheetView workbookViewId="0"/>
  </sheetViews>
  <sheetFormatPr defaultRowHeight="15"/>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DD05C-4034-4348-BA0D-994D6210650C}">
  <dimension ref="A1"/>
  <sheetViews>
    <sheetView workbookViewId="0"/>
  </sheetViews>
  <sheetFormatPr defaultRowHeight="15"/>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1EF01-DFCA-493B-978D-80095592D000}">
  <dimension ref="A1"/>
  <sheetViews>
    <sheetView workbookViewId="0"/>
  </sheetViews>
  <sheetFormatPr defaultRowHeight="15"/>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9D653-63C8-4A93-B669-2D6A55B49DFD}">
  <dimension ref="A1"/>
  <sheetViews>
    <sheetView workbookViewId="0"/>
  </sheetViews>
  <sheetFormatPr defaultRowHeight="15"/>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08856-5ABF-42AF-8FA8-020C98C990FA}">
  <dimension ref="A1"/>
  <sheetViews>
    <sheetView workbookViewId="0"/>
  </sheetViews>
  <sheetFormatPr defaultRowHeight="15"/>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70AEB-6147-45FA-9058-E78D513A879A}">
  <dimension ref="A1"/>
  <sheetViews>
    <sheetView workbookViewId="0"/>
  </sheetViews>
  <sheetFormatPr defaultRowHeight="15"/>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82150-4CB0-48D0-8F12-4D88636BD9FF}">
  <dimension ref="A1"/>
  <sheetViews>
    <sheetView workbookViewId="0"/>
  </sheetViews>
  <sheetFormatPr defaultRowHeight="15"/>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78ECE-4B96-454E-B30E-FE4532E5AE67}">
  <dimension ref="A1"/>
  <sheetViews>
    <sheetView workbookViewId="0"/>
  </sheetViews>
  <sheetFormatPr defaultRowHeight="15"/>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73BC0-69D3-4F7B-85ED-44AD58D59F35}">
  <dimension ref="A1"/>
  <sheetViews>
    <sheetView workbookViewId="0"/>
  </sheetViews>
  <sheetFormatPr defaultRowHeight="15"/>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E9C92-1D90-46BB-950B-897B1BB7A798}">
  <dimension ref="A1"/>
  <sheetViews>
    <sheetView workbookViewId="0"/>
  </sheetViews>
  <sheetFormatPr defaultRowHeight="15"/>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6878C-CF76-40B2-A7D1-A6ECC16C022D}">
  <dimension ref="A1"/>
  <sheetViews>
    <sheetView workbookViewId="0"/>
  </sheetViews>
  <sheetFormatPr defaultRowHeight="15"/>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16B46-945D-4DD8-8CE0-772ECF84B0FE}">
  <dimension ref="A1"/>
  <sheetViews>
    <sheetView workbookViewId="0"/>
  </sheetViews>
  <sheetFormatPr defaultRowHeight="15"/>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CBCD-7FE7-46CF-AA6C-FCC2B6A4A6C7}">
  <dimension ref="A1"/>
  <sheetViews>
    <sheetView workbookViewId="0"/>
  </sheetViews>
  <sheetFormatPr defaultRowHeight="15"/>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B441A-9983-4381-A21A-7DC39EA0622F}">
  <dimension ref="A1"/>
  <sheetViews>
    <sheetView workbookViewId="0"/>
  </sheetViews>
  <sheetFormatPr defaultRowHeight="15"/>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81256-7EB1-4D10-9AE8-3076D358A734}">
  <dimension ref="A1"/>
  <sheetViews>
    <sheetView workbookViewId="0"/>
  </sheetViews>
  <sheetFormatPr defaultRowHeight="15"/>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7235C-1ECA-4478-9699-53D1208A70D4}">
  <dimension ref="A1"/>
  <sheetViews>
    <sheetView workbookViewId="0"/>
  </sheetViews>
  <sheetFormatPr defaultRowHeight="15"/>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5A9E-BC7A-4417-8D74-A30F31824D17}">
  <dimension ref="A1"/>
  <sheetViews>
    <sheetView workbookViewId="0"/>
  </sheetViews>
  <sheetFormatPr defaultRowHeight="15"/>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367B2-9C2E-4643-B818-15726F8A031C}">
  <dimension ref="A1"/>
  <sheetViews>
    <sheetView workbookViewId="0"/>
  </sheetViews>
  <sheetFormatPr defaultRowHeight="15"/>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54317-4ECB-4F70-9F23-9910E54178C4}">
  <dimension ref="A1"/>
  <sheetViews>
    <sheetView workbookViewId="0"/>
  </sheetViews>
  <sheetFormatPr defaultRowHeight="15"/>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6CDB7-95B7-441E-8F56-B8E5BE339F41}">
  <dimension ref="A1"/>
  <sheetViews>
    <sheetView workbookViewId="0"/>
  </sheetViews>
  <sheetFormatPr defaultRowHeight="15"/>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8828C-059C-47D9-9D34-02688A3C0C82}">
  <dimension ref="A1"/>
  <sheetViews>
    <sheetView workbookViewId="0"/>
  </sheetViews>
  <sheetFormatPr defaultRowHeight="15"/>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8811A-871A-4218-A9EC-CBBCDE2D848B}">
  <dimension ref="A1"/>
  <sheetViews>
    <sheetView workbookViewId="0"/>
  </sheetViews>
  <sheetFormatPr defaultRowHeight="15"/>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FCCE2-41C9-44B1-81CB-04462F70FE32}">
  <dimension ref="A1"/>
  <sheetViews>
    <sheetView workbookViewId="0"/>
  </sheetViews>
  <sheetFormatPr defaultRowHeight="15"/>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FC7D5-9BBB-4001-B229-D56AF81FAE4A}">
  <dimension ref="A1"/>
  <sheetViews>
    <sheetView workbookViewId="0"/>
  </sheetViews>
  <sheetFormatPr defaultRowHeight="15"/>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8CDD2-0E71-4B20-A35D-B86C913B79D7}">
  <dimension ref="A1"/>
  <sheetViews>
    <sheetView workbookViewId="0"/>
  </sheetViews>
  <sheetFormatPr defaultRowHeight="15"/>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6CD0A-DC78-4B01-82CE-ECADD5345070}">
  <dimension ref="A1"/>
  <sheetViews>
    <sheetView workbookViewId="0"/>
  </sheetViews>
  <sheetFormatPr defaultRowHeight="15"/>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F5B96-DFC4-4F07-B82C-108B89CA1BCD}">
  <dimension ref="A1"/>
  <sheetViews>
    <sheetView workbookViewId="0"/>
  </sheetViews>
  <sheetFormatPr defaultRowHeight="15"/>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8AB07-2334-45F0-8B77-7AB47ACE2828}">
  <dimension ref="A1"/>
  <sheetViews>
    <sheetView workbookViewId="0"/>
  </sheetViews>
  <sheetFormatPr defaultRowHeight="15"/>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45D7A-F40C-4879-8D89-0CFA03FC490C}">
  <dimension ref="A1"/>
  <sheetViews>
    <sheetView workbookViewId="0"/>
  </sheetViews>
  <sheetFormatPr defaultRowHeight="15"/>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889DC-164C-44AC-B983-7A17DED0BD37}">
  <dimension ref="A1"/>
  <sheetViews>
    <sheetView workbookViewId="0"/>
  </sheetViews>
  <sheetFormatPr defaultRowHeight="15"/>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5DEC1-EEEB-4148-8905-1DA59936DF21}">
  <dimension ref="A1"/>
  <sheetViews>
    <sheetView workbookViewId="0"/>
  </sheetViews>
  <sheetFormatPr defaultRowHeight="15"/>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F15E5-836F-4F60-9BE6-AD2E809A4B6E}">
  <dimension ref="A1"/>
  <sheetViews>
    <sheetView workbookViewId="0"/>
  </sheetViews>
  <sheetFormatPr defaultRowHeight="15"/>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A7C40-9860-441A-A46E-4ECC58B30E59}">
  <dimension ref="A1"/>
  <sheetViews>
    <sheetView workbookViewId="0"/>
  </sheetViews>
  <sheetFormatPr defaultRowHeight="15"/>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AC652-3145-4CF4-9826-45307B5434C2}">
  <dimension ref="A1"/>
  <sheetViews>
    <sheetView workbookViewId="0"/>
  </sheetViews>
  <sheetFormatPr defaultRowHeight="15"/>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430C7-0CD0-4AF1-9669-0189017A0A3E}">
  <dimension ref="A1"/>
  <sheetViews>
    <sheetView workbookViewId="0"/>
  </sheetViews>
  <sheetFormatPr defaultRowHeight="15"/>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C1D1E-7BE2-41A0-A99D-BD651244C851}">
  <dimension ref="A1"/>
  <sheetViews>
    <sheetView workbookViewId="0"/>
  </sheetViews>
  <sheetFormatPr defaultRowHeight="15"/>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8EC67-623A-44EC-BBC9-822A318D0FC3}">
  <dimension ref="A1"/>
  <sheetViews>
    <sheetView workbookViewId="0"/>
  </sheetViews>
  <sheetFormatPr defaultRowHeight="15"/>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085C4-FAD5-4CA7-94A9-75C5AF8AAB47}">
  <dimension ref="A1"/>
  <sheetViews>
    <sheetView workbookViewId="0"/>
  </sheetViews>
  <sheetFormatPr defaultRowHeight="15"/>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30236-4002-4F7E-9E58-EEEEFEE28591}">
  <dimension ref="A1"/>
  <sheetViews>
    <sheetView workbookViewId="0"/>
  </sheetViews>
  <sheetFormatPr defaultRowHeight="15"/>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82D32-BCAE-4075-B795-574BE750932F}">
  <dimension ref="A1"/>
  <sheetViews>
    <sheetView workbookViewId="0"/>
  </sheetViews>
  <sheetFormatPr defaultRowHeight="15"/>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A25AD-C81F-492B-A1EE-BD787031BFC6}">
  <dimension ref="A1"/>
  <sheetViews>
    <sheetView workbookViewId="0"/>
  </sheetViews>
  <sheetFormatPr defaultRowHeight="15"/>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00BDE-88C7-4A4E-9692-250DF0BF5A77}">
  <dimension ref="A1"/>
  <sheetViews>
    <sheetView workbookViewId="0"/>
  </sheetViews>
  <sheetFormatPr defaultRowHeight="15"/>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395AC-6579-4FE9-8E6C-58640A19EAB8}">
  <dimension ref="A1:U165"/>
  <sheetViews>
    <sheetView workbookViewId="0">
      <pane xSplit="2" ySplit="11" topLeftCell="C24" activePane="bottomRight" state="frozen"/>
      <selection activeCell="A2" sqref="A2:S2"/>
      <selection pane="topRight" activeCell="A2" sqref="A2:S2"/>
      <selection pane="bottomLeft" activeCell="A2" sqref="A2:S2"/>
      <selection pane="bottomRight" activeCell="B29" sqref="B29"/>
    </sheetView>
  </sheetViews>
  <sheetFormatPr defaultRowHeight="15"/>
  <cols>
    <col min="1" max="1" width="10.5" style="301" customWidth="1"/>
    <col min="2" max="2" width="50" style="300" customWidth="1"/>
    <col min="3" max="3" width="33.5" style="300" customWidth="1"/>
    <col min="4" max="4" width="22.75" style="300" bestFit="1" customWidth="1"/>
    <col min="5" max="5" width="21.125" style="300" customWidth="1"/>
    <col min="6" max="6" width="25.375" style="300" customWidth="1"/>
    <col min="7" max="7" width="6.125" style="300" customWidth="1"/>
    <col min="8" max="8" width="6.75" style="300" customWidth="1"/>
    <col min="9" max="9" width="8.375" style="300" customWidth="1"/>
    <col min="10" max="10" width="7.875" style="300" customWidth="1"/>
    <col min="11" max="11" width="8.5" style="300" customWidth="1"/>
    <col min="12" max="12" width="7.375" style="300" customWidth="1"/>
    <col min="13" max="13" width="7.875" style="300" customWidth="1"/>
    <col min="14" max="14" width="8" style="300" customWidth="1"/>
    <col min="15" max="15" width="8.25" style="300" customWidth="1"/>
    <col min="16" max="17" width="8" style="300" customWidth="1"/>
    <col min="18" max="18" width="11.375" style="300" bestFit="1" customWidth="1"/>
    <col min="19" max="16384" width="9" style="300"/>
  </cols>
  <sheetData>
    <row r="1" spans="1:17" ht="24.75" customHeight="1">
      <c r="A1" s="299" t="s">
        <v>544</v>
      </c>
    </row>
    <row r="2" spans="1:17" s="304" customFormat="1" ht="41.25" customHeight="1">
      <c r="A2" s="301"/>
      <c r="B2" s="301" t="s">
        <v>300</v>
      </c>
      <c r="C2" s="302">
        <f>TongDT!L2</f>
        <v>11.250999999999999</v>
      </c>
      <c r="D2" s="303"/>
      <c r="E2" s="303"/>
      <c r="L2" s="305">
        <f>I31</f>
        <v>3.4</v>
      </c>
      <c r="M2" s="305">
        <f>K31</f>
        <v>3</v>
      </c>
      <c r="P2" s="304">
        <f>352.108/1.1</f>
        <v>320.09818181818179</v>
      </c>
      <c r="Q2" s="304">
        <f>FORECAST(P2,O14:P14,O11:P11)</f>
        <v>1.524493309090909</v>
      </c>
    </row>
    <row r="3" spans="1:17" s="304" customFormat="1" ht="18.75" customHeight="1">
      <c r="A3" s="301"/>
      <c r="B3" s="301" t="s">
        <v>282</v>
      </c>
      <c r="C3" s="306" t="e">
        <f>SUM(C4:C8)</f>
        <v>#REF!</v>
      </c>
      <c r="D3" s="307" t="s">
        <v>1050</v>
      </c>
      <c r="E3" s="307"/>
      <c r="K3" s="304">
        <f>FORECAST(J11,L2:M2,L3:M3)</f>
        <v>3.25</v>
      </c>
      <c r="L3" s="304">
        <v>7</v>
      </c>
      <c r="M3" s="304">
        <v>15</v>
      </c>
      <c r="Q3" s="304">
        <f>(O14+P14)/2</f>
        <v>1.492</v>
      </c>
    </row>
    <row r="4" spans="1:17" s="304" customFormat="1" ht="24" customHeight="1">
      <c r="A4" s="301"/>
      <c r="B4" s="301" t="str">
        <f>TongDT!F7</f>
        <v>A</v>
      </c>
      <c r="C4" s="308">
        <f>TongDT!J7/1.1/10^9</f>
        <v>0</v>
      </c>
      <c r="D4" s="309" t="s">
        <v>1050</v>
      </c>
      <c r="E4" s="307"/>
    </row>
    <row r="5" spans="1:17" ht="24" customHeight="1">
      <c r="B5" s="301" t="str">
        <f>TongDT!F10</f>
        <v>B</v>
      </c>
      <c r="C5" s="308">
        <f>TongDT!J10/1.1/10^9</f>
        <v>0</v>
      </c>
      <c r="D5" s="309" t="s">
        <v>1050</v>
      </c>
      <c r="E5" s="310"/>
    </row>
    <row r="6" spans="1:17" ht="24" customHeight="1">
      <c r="B6" s="301" t="str">
        <f>TongDT!F14</f>
        <v>XL</v>
      </c>
      <c r="C6" s="1086" t="e">
        <f>TongDT!J14/1.1/10^9</f>
        <v>#REF!</v>
      </c>
      <c r="D6" s="309" t="s">
        <v>1050</v>
      </c>
      <c r="E6" s="310"/>
      <c r="H6" s="301"/>
      <c r="I6" s="301"/>
      <c r="J6" s="301"/>
      <c r="K6" s="301"/>
      <c r="L6" s="301"/>
      <c r="M6" s="301"/>
      <c r="N6" s="301"/>
      <c r="O6" s="301"/>
      <c r="P6" s="301"/>
      <c r="Q6" s="301"/>
    </row>
    <row r="7" spans="1:17" ht="24" customHeight="1">
      <c r="B7" s="301" t="e">
        <f>TongDT!F24</f>
        <v>#REF!</v>
      </c>
      <c r="C7" s="308">
        <f>TongDT!J24/1.1/10^9</f>
        <v>0</v>
      </c>
      <c r="D7" s="309" t="s">
        <v>1050</v>
      </c>
      <c r="E7" s="310"/>
      <c r="H7" s="301"/>
      <c r="I7" s="301"/>
      <c r="J7" s="301"/>
      <c r="K7" s="301"/>
      <c r="L7" s="301"/>
      <c r="M7" s="301"/>
      <c r="N7" s="301"/>
      <c r="O7" s="301"/>
      <c r="P7" s="301"/>
      <c r="Q7" s="301"/>
    </row>
    <row r="8" spans="1:17" ht="24" customHeight="1">
      <c r="B8" s="301" t="e">
        <f>TongDT!F27</f>
        <v>#REF!</v>
      </c>
      <c r="C8" s="308">
        <f>TongDT!J27/1.1/10^9</f>
        <v>0</v>
      </c>
      <c r="D8" s="309" t="s">
        <v>1050</v>
      </c>
      <c r="E8" s="310"/>
      <c r="G8" s="311" t="s">
        <v>225</v>
      </c>
      <c r="H8" s="311" t="s">
        <v>239</v>
      </c>
      <c r="I8" s="311" t="s">
        <v>189</v>
      </c>
      <c r="J8" s="311" t="s">
        <v>240</v>
      </c>
      <c r="K8" s="311" t="s">
        <v>227</v>
      </c>
      <c r="L8" s="311" t="s">
        <v>241</v>
      </c>
      <c r="M8" s="311" t="s">
        <v>201</v>
      </c>
      <c r="N8" s="311" t="s">
        <v>242</v>
      </c>
      <c r="O8" s="311" t="s">
        <v>243</v>
      </c>
      <c r="P8" s="311" t="s">
        <v>244</v>
      </c>
      <c r="Q8" s="311" t="s">
        <v>1051</v>
      </c>
    </row>
    <row r="9" spans="1:17" ht="24" customHeight="1" thickBot="1">
      <c r="A9" s="312" t="s">
        <v>1052</v>
      </c>
      <c r="C9" s="313"/>
      <c r="D9" s="313"/>
      <c r="E9" s="310"/>
      <c r="H9" s="301"/>
      <c r="I9" s="301"/>
      <c r="J9" s="301"/>
      <c r="K9" s="301"/>
      <c r="L9" s="301"/>
      <c r="M9" s="301"/>
      <c r="N9" s="301"/>
      <c r="O9" s="301"/>
      <c r="P9" s="301"/>
      <c r="Q9" s="301"/>
    </row>
    <row r="10" spans="1:17" ht="15.75">
      <c r="A10" s="1173" t="s">
        <v>245</v>
      </c>
      <c r="B10" s="1169" t="s">
        <v>246</v>
      </c>
      <c r="C10" s="1169" t="s">
        <v>247</v>
      </c>
      <c r="D10" s="1169" t="s">
        <v>248</v>
      </c>
      <c r="E10" s="1175" t="s">
        <v>1053</v>
      </c>
      <c r="F10" s="1169" t="s">
        <v>250</v>
      </c>
      <c r="G10" s="1158" t="s">
        <v>1054</v>
      </c>
      <c r="H10" s="1159"/>
      <c r="I10" s="1159"/>
      <c r="J10" s="1159"/>
      <c r="K10" s="1159"/>
      <c r="L10" s="1159"/>
      <c r="M10" s="1159"/>
      <c r="N10" s="1159"/>
      <c r="O10" s="1159"/>
      <c r="P10" s="1159"/>
      <c r="Q10" s="1160"/>
    </row>
    <row r="11" spans="1:17" ht="18" customHeight="1">
      <c r="A11" s="1174"/>
      <c r="B11" s="1170"/>
      <c r="C11" s="1170"/>
      <c r="D11" s="1170"/>
      <c r="E11" s="1176"/>
      <c r="F11" s="1170"/>
      <c r="G11" s="314">
        <v>1</v>
      </c>
      <c r="H11" s="314">
        <v>3</v>
      </c>
      <c r="I11" s="314">
        <v>7</v>
      </c>
      <c r="J11" s="314">
        <v>10</v>
      </c>
      <c r="K11" s="314">
        <v>15</v>
      </c>
      <c r="L11" s="314">
        <v>20</v>
      </c>
      <c r="M11" s="314">
        <v>50</v>
      </c>
      <c r="N11" s="314">
        <v>100</v>
      </c>
      <c r="O11" s="314">
        <v>200</v>
      </c>
      <c r="P11" s="314">
        <v>500</v>
      </c>
      <c r="Q11" s="315">
        <v>1000</v>
      </c>
    </row>
    <row r="12" spans="1:17" s="325" customFormat="1" ht="15.75">
      <c r="A12" s="316" t="s">
        <v>1055</v>
      </c>
      <c r="B12" s="317" t="s">
        <v>1056</v>
      </c>
      <c r="C12" s="318">
        <f>IF($C$4&lt;=10,J12,IF(AND($C$4&gt;$J$11,$C$4&lt;=$K$11),FORECAST($C$4,J12:K12,$J$11:$K$11),IF(AND($C$4&gt;$K$11,$C$4&lt;=$L$11),FORECAST($C$4,K12:L12,$K$11:$L$11),IF(AND($C$4&gt;$L$11,$C$4&lt;=$M$11),FORECAST($C$4,L12:M12,$L$11:$M$11),IF(AND($C$4&gt;$M$11,$C$4&lt;=$N$11),FORECAST($C$4,M12:N12,$M$11:$N$11),IF(AND($C$4&gt;$N$11,$C$4&lt;=$O$11),FORECAST($C$4,N12:O12,$N$11:$O$11),IF(AND($C$4&gt;$O$11,$C$4&lt;=$P$11),FORECAST($C$4,O12:P12,$O$11:$P$11),0)))))))</f>
        <v>3.282</v>
      </c>
      <c r="D12" s="319" t="str">
        <f>$B$4&amp;"/1.1*"&amp;ROUND(C12,3)&amp;"%"</f>
        <v>A/1.1*3,282%</v>
      </c>
      <c r="E12" s="320">
        <f>ROUND(C4*10^9*ROUND(C12,3)/100,-3)</f>
        <v>0</v>
      </c>
      <c r="F12" s="321" t="s">
        <v>251</v>
      </c>
      <c r="G12" s="317"/>
      <c r="H12" s="322">
        <v>3.282</v>
      </c>
      <c r="I12" s="322">
        <v>3.282</v>
      </c>
      <c r="J12" s="322">
        <v>3.282</v>
      </c>
      <c r="K12" s="323">
        <f>(J12+L12)/2</f>
        <v>3.0329999999999999</v>
      </c>
      <c r="L12" s="322">
        <v>2.7839999999999998</v>
      </c>
      <c r="M12" s="322">
        <v>2.4860000000000002</v>
      </c>
      <c r="N12" s="322">
        <v>1.921</v>
      </c>
      <c r="O12" s="322">
        <v>1.796</v>
      </c>
      <c r="P12" s="322">
        <v>1.4419999999999999</v>
      </c>
      <c r="Q12" s="324">
        <v>1.18</v>
      </c>
    </row>
    <row r="13" spans="1:17" s="325" customFormat="1" ht="15.75">
      <c r="A13" s="326" t="s">
        <v>1057</v>
      </c>
      <c r="B13" s="321" t="s">
        <v>1058</v>
      </c>
      <c r="C13" s="318">
        <f>IF($C$5&lt;=10,J13,IF(AND($C$5&gt;$J$11,$C$5&lt;=$K$11),FORECAST($C$5,J13:K13,$J$11:$K$11),IF(AND($C$5&gt;$K$11,$C$5&lt;=$L$11),FORECAST($C$5,K13:L13,$K$11:$L$11),IF(AND($C$5&gt;$L$11,$C$5&lt;=$M$11),FORECAST($C$5,L13:M13,$L$11:$M$11),IF(AND($C$5&gt;$M$11,$C$5&lt;=$N$11),FORECAST($C$5,M13:N13,$M$11:$N$11),IF(AND($C$5&gt;$N$11,$C$5&lt;=$O$11),FORECAST($C$5,N13:O13,$N$11:$O$11),IF(AND($C$5&gt;$O$11,$C$5&lt;=$P$11),FORECAST($C$5,O13:P13,$O$11:$P$11),0)))))))</f>
        <v>3.4529999999999998</v>
      </c>
      <c r="D13" s="319" t="str">
        <f>$B$5&amp;"/1.1*"&amp;ROUND(C13,3)&amp;"%"</f>
        <v>B/1.1*3,453%</v>
      </c>
      <c r="E13" s="320">
        <f>ROUND(C5*10^9*ROUND(C13,3)/100,-3)</f>
        <v>0</v>
      </c>
      <c r="F13" s="321" t="s">
        <v>251</v>
      </c>
      <c r="G13" s="321"/>
      <c r="H13" s="327">
        <v>3.4529999999999998</v>
      </c>
      <c r="I13" s="327">
        <v>3.4529999999999998</v>
      </c>
      <c r="J13" s="327">
        <v>3.4529999999999998</v>
      </c>
      <c r="K13" s="323">
        <f>(J13+L13)/2</f>
        <v>3.1915</v>
      </c>
      <c r="L13" s="327">
        <v>2.93</v>
      </c>
      <c r="M13" s="327">
        <v>2.6160000000000001</v>
      </c>
      <c r="N13" s="327">
        <v>2.0209999999999999</v>
      </c>
      <c r="O13" s="327">
        <v>1.89</v>
      </c>
      <c r="P13" s="327">
        <v>1.518</v>
      </c>
      <c r="Q13" s="328">
        <v>1.242</v>
      </c>
    </row>
    <row r="14" spans="1:17" s="325" customFormat="1" ht="15.75">
      <c r="A14" s="326" t="s">
        <v>1059</v>
      </c>
      <c r="B14" s="321" t="s">
        <v>1273</v>
      </c>
      <c r="C14" s="318" t="e">
        <f>IF($C$6&lt;=10,J14,IF(AND($C$6&gt;$J$11,$C$6&lt;=$K$11),FORECAST($C$6,J14:K14,$J$11:$K$11),IF(AND($C$6&gt;$K$11,$C$6&lt;=$L$11),FORECAST($C$6,K14:L14,$K$11:$L$11),IF(AND($C$6&gt;$L$11,$C$6&lt;=$M$11),FORECAST($C$6,L14:M14,$L$11:$M$11),IF(AND($C$6&gt;$M$11,$C$6&lt;=$N$11),FORECAST($C$6,M14:N14,$M$11:$N$11),IF(AND($C$6&gt;$N$11,$C$6&lt;=$O$11),FORECAST($C$6,N14:O14,$N$11:$O$11),IF(AND($C$6&gt;$O$11,$C$6&lt;=$P$11),FORECAST($C$6,O14:P14,$O$11:$P$11),0)))))))</f>
        <v>#REF!</v>
      </c>
      <c r="D14" s="319" t="e">
        <f>$B$6&amp;"/1.1*"&amp;ROUND(C14,3)&amp;"%"</f>
        <v>#REF!</v>
      </c>
      <c r="E14" s="320" t="e">
        <f>ROUND(C6*10^9*ROUND(C14,3)/100,0)</f>
        <v>#REF!</v>
      </c>
      <c r="F14" s="321" t="s">
        <v>251</v>
      </c>
      <c r="G14" s="978"/>
      <c r="H14" s="979">
        <v>3.024</v>
      </c>
      <c r="I14" s="979">
        <v>3.024</v>
      </c>
      <c r="J14" s="979">
        <v>3.024</v>
      </c>
      <c r="K14" s="980">
        <f>(3.024+2.566)/2</f>
        <v>2.7949999999999999</v>
      </c>
      <c r="L14" s="979">
        <v>2.5659999999999998</v>
      </c>
      <c r="M14" s="979">
        <v>2.2919999999999998</v>
      </c>
      <c r="N14" s="979">
        <v>1.7709999999999999</v>
      </c>
      <c r="O14" s="979">
        <v>1.655</v>
      </c>
      <c r="P14" s="979">
        <v>1.329</v>
      </c>
      <c r="Q14" s="981">
        <v>1.0880000000000001</v>
      </c>
    </row>
    <row r="15" spans="1:17" s="325" customFormat="1" ht="15.75">
      <c r="A15" s="326" t="s">
        <v>1060</v>
      </c>
      <c r="B15" s="321" t="s">
        <v>1061</v>
      </c>
      <c r="C15" s="318">
        <f>IF($C$7&lt;=10,J15,IF(AND($C$7&gt;$J$11,$C$7&lt;=$K$11),FORECAST($C$7,J15:K15,$J$11:$K$11),IF(AND($C$7&gt;$K$11,$C$7&lt;=$L$11),FORECAST($C$7,K15:L15,$K$11:$L$11),IF(AND($C$7&gt;$L$11,$C$7&lt;=$M$11),FORECAST($C$7,L15:M15,$L$11:$M$11),IF(AND($C$7&gt;$M$11,$C$7&lt;=$N$11),FORECAST($C$7,M15:N15,$M$11:$N$11),IF(AND($C$7&gt;$N$11,$C$7&lt;=$O$11),FORECAST($C$7,N15:O15,$N$11:$O$11),IF(AND($C$7&gt;$O$11,$C$7&lt;=$P$11),FORECAST($C$7,O15:P15,$O$11:$P$11),0)))))))</f>
        <v>3.1080000000000001</v>
      </c>
      <c r="D15" s="319" t="e">
        <f>$B$7&amp;"/1.1*"&amp;ROUND(C15,3)&amp;"%"</f>
        <v>#REF!</v>
      </c>
      <c r="E15" s="320">
        <f>ROUND(C7*10^9*ROUND(C15,3)/100,-3)</f>
        <v>0</v>
      </c>
      <c r="F15" s="321" t="s">
        <v>251</v>
      </c>
      <c r="G15" s="321"/>
      <c r="H15" s="327">
        <v>3.1080000000000001</v>
      </c>
      <c r="I15" s="327">
        <v>3.1080000000000001</v>
      </c>
      <c r="J15" s="327">
        <v>3.1080000000000001</v>
      </c>
      <c r="K15" s="323">
        <f>(J15+L15)/2</f>
        <v>2.8725000000000001</v>
      </c>
      <c r="L15" s="327">
        <v>2.637</v>
      </c>
      <c r="M15" s="327">
        <v>2.355</v>
      </c>
      <c r="N15" s="327">
        <v>1.819</v>
      </c>
      <c r="O15" s="327">
        <v>1.7010000000000001</v>
      </c>
      <c r="P15" s="327">
        <v>1.3660000000000001</v>
      </c>
      <c r="Q15" s="328">
        <v>1.1180000000000001</v>
      </c>
    </row>
    <row r="16" spans="1:17" s="325" customFormat="1" ht="15.75">
      <c r="A16" s="326" t="s">
        <v>1062</v>
      </c>
      <c r="B16" s="321" t="s">
        <v>1063</v>
      </c>
      <c r="C16" s="318">
        <f>IF($C$8&lt;=10,J16,IF(AND($C$8&gt;$J$11,$C$8&lt;=$K$11),FORECAST($C$8,J16:K16,$J$11:$K$11),IF(AND($C$8&gt;$K$11,$C$8&lt;=$L$11),FORECAST($C$8,K16:L16,$K$11:$L$11),IF(AND($C$8&gt;$L$11,$C$8&lt;=$M$11),FORECAST($C$8,L16:M16,$L$11:$M$11),IF(AND($C$8&gt;$M$11,$C$8&lt;=$N$11),FORECAST($C$8,M16:N16,$M$11:$N$11),IF(AND($C$8&gt;$N$11,$C$8&lt;=$O$11),FORECAST($C$8,N16:O16,$N$11:$O$11),IF(AND($C$8&gt;$O$11,$C$8&lt;=$P$11),FORECAST($C$8,O16:P16,$O$11:$P$11),0)))))))</f>
        <v>2.7629999999999999</v>
      </c>
      <c r="D16" s="319" t="e">
        <f>$B$8&amp;"/1.1*"&amp;ROUND(C16,3)&amp;"%"</f>
        <v>#REF!</v>
      </c>
      <c r="E16" s="320">
        <f>ROUND(C8*10^9*ROUND(C16,3)/100,-3)</f>
        <v>0</v>
      </c>
      <c r="F16" s="321" t="s">
        <v>251</v>
      </c>
      <c r="G16" s="321"/>
      <c r="H16" s="327">
        <v>2.7629999999999999</v>
      </c>
      <c r="I16" s="327">
        <v>2.7629999999999999</v>
      </c>
      <c r="J16" s="327">
        <v>2.7629999999999999</v>
      </c>
      <c r="K16" s="329">
        <v>2.5534999999999997</v>
      </c>
      <c r="L16" s="327">
        <v>2.3439999999999999</v>
      </c>
      <c r="M16" s="327">
        <v>2.093</v>
      </c>
      <c r="N16" s="327">
        <v>1.5169999999999999</v>
      </c>
      <c r="O16" s="327">
        <v>1.486</v>
      </c>
      <c r="P16" s="327">
        <v>1.214</v>
      </c>
      <c r="Q16" s="328">
        <v>1.02</v>
      </c>
    </row>
    <row r="17" spans="1:17" s="338" customFormat="1" ht="15.75">
      <c r="A17" s="330" t="s">
        <v>1064</v>
      </c>
      <c r="B17" s="331" t="s">
        <v>1065</v>
      </c>
      <c r="C17" s="332" t="e">
        <f>IF($C$3&lt;15,"C«ng tr×nh lËp BC KTKT",IF(C4&lt;=15,K17,IF(AND(C4&gt;$K$11,C4&lt;=$L$11),FORECAST(C4,K17:L17,$K$11:$L$11),IF(AND(C4&gt;$L$11,C4&lt;=$M$11),FORECAST(C4,L17:M17,$L$11:$M$11),IF(AND(C4&gt;$M$11,C4&lt;=$N$11),FORECAST(C4,M17:N17,$M$11:$N$11),IF(AND(C4&gt;$N$11,C4&lt;=$O$11),FORECAST(C4,N17:O17,$N$11:$O$11),IF(AND(C4&gt;$O$11,C4&lt;=$P$11),FORECAST(C4,O17:P17,$O$11:$P$11),0)))))))</f>
        <v>#REF!</v>
      </c>
      <c r="D17" s="333" t="e">
        <f>IF($C$3&lt;15,"Kh«ng cã",B4&amp;"/1.1*"&amp;ROUND(C17,3)&amp;"%")</f>
        <v>#REF!</v>
      </c>
      <c r="E17" s="334" t="e">
        <f>IF($C$3&lt;=15,0,C4*10^9*ROUND(C17,3)/100)</f>
        <v>#REF!</v>
      </c>
      <c r="F17" s="335" t="s">
        <v>252</v>
      </c>
      <c r="G17" s="335"/>
      <c r="H17" s="336">
        <v>0.66800000000000004</v>
      </c>
      <c r="I17" s="336">
        <v>0.66800000000000004</v>
      </c>
      <c r="J17" s="336">
        <v>0.66800000000000004</v>
      </c>
      <c r="K17" s="336">
        <f>(J17+L17)/2</f>
        <v>0.58550000000000002</v>
      </c>
      <c r="L17" s="336">
        <v>0.503</v>
      </c>
      <c r="M17" s="336">
        <v>0.376</v>
      </c>
      <c r="N17" s="336">
        <v>0.24</v>
      </c>
      <c r="O17" s="336">
        <v>1.61E-2</v>
      </c>
      <c r="P17" s="336">
        <v>0.1</v>
      </c>
      <c r="Q17" s="337">
        <v>8.5999999999999993E-2</v>
      </c>
    </row>
    <row r="18" spans="1:17" s="338" customFormat="1" ht="15.75">
      <c r="A18" s="330" t="s">
        <v>1066</v>
      </c>
      <c r="B18" s="331" t="s">
        <v>1067</v>
      </c>
      <c r="C18" s="332" t="e">
        <f>IF($C$3&lt;15,"C«ng tr×nh lËp BC KTKT",IF(C5&lt;=15,K18,IF(AND(C5&gt;$K$11,C5&lt;=$L$11),FORECAST(C5,K18:L18,$K$11:$L$11),IF(AND(C5&gt;$L$11,C5&lt;=$M$11),FORECAST(C5,L18:M18,$L$11:$M$11),IF(AND(C5&gt;$M$11,C5&lt;=$N$11),FORECAST(C5,M18:N18,$M$11:$N$11),IF(AND(C5&gt;$N$11,C5&lt;=$O$11),FORECAST(C5,N18:O18,$N$11:$O$11),IF(AND(C5&gt;$O$11,C5&lt;=$P$11),FORECAST(C5,O18:P18,$O$11:$P$11),0)))))))</f>
        <v>#REF!</v>
      </c>
      <c r="D18" s="333" t="e">
        <f>IF($C$3&lt;15,"Kh«ng cã",B5&amp;"/1.1*"&amp;ROUND(C18,3)&amp;"%")</f>
        <v>#REF!</v>
      </c>
      <c r="E18" s="334" t="e">
        <f>IF($C$3&lt;=15,0,C5*10^9*ROUND(C18,3)/100)</f>
        <v>#REF!</v>
      </c>
      <c r="F18" s="335" t="s">
        <v>252</v>
      </c>
      <c r="G18" s="335"/>
      <c r="H18" s="336">
        <v>0.75700000000000001</v>
      </c>
      <c r="I18" s="336">
        <v>0.75700000000000001</v>
      </c>
      <c r="J18" s="336">
        <v>0.75700000000000001</v>
      </c>
      <c r="K18" s="336">
        <f>(J18+L18)/2</f>
        <v>0.6845</v>
      </c>
      <c r="L18" s="336">
        <v>0.61199999999999999</v>
      </c>
      <c r="M18" s="336">
        <v>0.441</v>
      </c>
      <c r="N18" s="336">
        <v>0.29399999999999998</v>
      </c>
      <c r="O18" s="336">
        <v>0.20599999999999999</v>
      </c>
      <c r="P18" s="336">
        <v>0.16300000000000001</v>
      </c>
      <c r="Q18" s="337">
        <v>0.14099999999999999</v>
      </c>
    </row>
    <row r="19" spans="1:17" s="338" customFormat="1" ht="15.75">
      <c r="A19" s="330" t="s">
        <v>1068</v>
      </c>
      <c r="B19" s="331" t="s">
        <v>1069</v>
      </c>
      <c r="C19" s="332" t="e">
        <f>IF($C$3&lt;15,"C«ng tr×nh lËp BC KTKT",IF(C6&lt;=15,K19,IF(AND(C6&gt;$K$11,C6&lt;=$L$11),FORECAST(C6,K19:L19,$K$11:$L$11),IF(AND(C6&gt;$L$11,C6&lt;=$M$11),FORECAST(C6,L19:M19,$L$11:$M$11),IF(AND(C6&gt;$M$11,C6&lt;=$N$11),FORECAST(C6,M19:N19,$M$11:$N$11),IF(AND(C6&gt;$N$11,C6&lt;=$O$11),FORECAST(C6,N19:O19,$N$11:$O$11),IF(AND(C6&gt;$O$11,C6&lt;=$P$11),FORECAST(C6,O19:P19,$O$11:$P$11),0)))))))</f>
        <v>#REF!</v>
      </c>
      <c r="D19" s="333" t="e">
        <f>IF($C$3&lt;15,"Kh«ng cã",B6&amp;"/1.1*"&amp;ROUND(C19,3)&amp;"%")</f>
        <v>#REF!</v>
      </c>
      <c r="E19" s="334" t="e">
        <f>IF($C$3&lt;=15,0,C6*10^9*ROUND(C19,3)/100)</f>
        <v>#REF!</v>
      </c>
      <c r="F19" s="335" t="s">
        <v>252</v>
      </c>
      <c r="G19" s="982"/>
      <c r="H19" s="983">
        <v>0.41299999999999998</v>
      </c>
      <c r="I19" s="983">
        <v>0.41299999999999998</v>
      </c>
      <c r="J19" s="983">
        <v>0.41299999999999998</v>
      </c>
      <c r="K19" s="983">
        <v>0.41299999999999998</v>
      </c>
      <c r="L19" s="983">
        <v>0.34499999999999997</v>
      </c>
      <c r="M19" s="983">
        <v>0.251</v>
      </c>
      <c r="N19" s="983">
        <v>0.17699999999999999</v>
      </c>
      <c r="O19" s="983">
        <v>0.108</v>
      </c>
      <c r="P19" s="983">
        <v>7.0999999999999994E-2</v>
      </c>
      <c r="Q19" s="984">
        <v>6.2E-2</v>
      </c>
    </row>
    <row r="20" spans="1:17" s="338" customFormat="1" ht="15.75">
      <c r="A20" s="330" t="s">
        <v>1070</v>
      </c>
      <c r="B20" s="331" t="s">
        <v>1071</v>
      </c>
      <c r="C20" s="332" t="e">
        <f>IF($C$3&lt;15,"C«ng tr×nh lËp BC KTKT",IF(C7&lt;=15,K20,IF(AND(C7&gt;$K$11,C7&lt;=$L$11),FORECAST(C7,K20:L20,$K$11:$L$11),IF(AND(C7&gt;$L$11,C7&lt;=$M$11),FORECAST(C7,L20:M20,$L$11:$M$11),IF(AND(C7&gt;$M$11,C7&lt;=$N$11),FORECAST(C7,M20:N20,$M$11:$N$11),IF(AND(C7&gt;$N$11,C7&lt;=$O$11),FORECAST(C7,N20:O20,$N$11:$O$11),IF(AND(C7&gt;$O$11,C7&lt;=$P$11),FORECAST(C7,O20:P20,$O$11:$P$11),0)))))))</f>
        <v>#REF!</v>
      </c>
      <c r="D20" s="333" t="e">
        <f>IF($C$3&lt;15,"Kh«ng cã",B7&amp;"/1.1*"&amp;ROUND(C20,3)&amp;"%")</f>
        <v>#REF!</v>
      </c>
      <c r="E20" s="334" t="e">
        <f>IF($C$3&lt;=15,0,C7*10^9*ROUND(C20,3)/100)</f>
        <v>#REF!</v>
      </c>
      <c r="F20" s="335" t="s">
        <v>252</v>
      </c>
      <c r="G20" s="335"/>
      <c r="H20" s="336">
        <v>0.56599999999999995</v>
      </c>
      <c r="I20" s="336">
        <v>0.56599999999999995</v>
      </c>
      <c r="J20" s="336">
        <v>0.56599999999999995</v>
      </c>
      <c r="K20" s="336">
        <f>(J20+L20)/2</f>
        <v>0.51899999999999991</v>
      </c>
      <c r="L20" s="336">
        <v>0.47199999999999998</v>
      </c>
      <c r="M20" s="336">
        <v>0.34300000000000003</v>
      </c>
      <c r="N20" s="336">
        <v>0.216</v>
      </c>
      <c r="O20" s="336">
        <v>0.14399999999999999</v>
      </c>
      <c r="P20" s="336">
        <v>9.6000000000000002E-2</v>
      </c>
      <c r="Q20" s="337">
        <v>8.2000000000000003E-2</v>
      </c>
    </row>
    <row r="21" spans="1:17" s="338" customFormat="1" ht="15.75">
      <c r="A21" s="330" t="s">
        <v>1072</v>
      </c>
      <c r="B21" s="331" t="s">
        <v>1073</v>
      </c>
      <c r="C21" s="332" t="e">
        <f>IF($C$3&lt;15,"C«ng tr×nh lËp BC KTKT",IF(C8&lt;=15,K21,IF(AND(C8&gt;$K$11,C8&lt;=$L$11),FORECAST(C8,K21:L21,$K$11:$L$11),IF(AND(C8&gt;$L$11,C8&lt;=$M$11),FORECAST(C8,L21:M21,$L$11:$M$11),IF(AND(C8&gt;$M$11,C8&lt;=$N$11),FORECAST(C8,M21:N21,$M$11:$N$11),IF(AND(C8&gt;$N$11,C8&lt;=$O$11),FORECAST(C8,N21:O21,$N$11:$O$11),IF(AND(C8&gt;$O$11,C8&lt;=$P$11),FORECAST(C8,O21:P21,$O$11:$P$11),0)))))))</f>
        <v>#REF!</v>
      </c>
      <c r="D21" s="333" t="e">
        <f>IF($C$3&lt;15,"Kh«ng cã",B8&amp;"/1.1*"&amp;ROUND(C21,3)&amp;"%")</f>
        <v>#REF!</v>
      </c>
      <c r="E21" s="334" t="e">
        <f>IF($C$3&lt;=15,0,C8*10^9*ROUND(C21,3)/100)</f>
        <v>#REF!</v>
      </c>
      <c r="F21" s="335" t="s">
        <v>252</v>
      </c>
      <c r="G21" s="335"/>
      <c r="H21" s="336">
        <v>0.43099999999999999</v>
      </c>
      <c r="I21" s="336">
        <v>0.43099999999999999</v>
      </c>
      <c r="J21" s="336">
        <v>0.43099999999999999</v>
      </c>
      <c r="K21" s="336">
        <f>(J21+L21)/2</f>
        <v>0.39549999999999996</v>
      </c>
      <c r="L21" s="336">
        <v>0.36</v>
      </c>
      <c r="M21" s="336">
        <v>0.26200000000000001</v>
      </c>
      <c r="N21" s="336">
        <v>0.183</v>
      </c>
      <c r="O21" s="336">
        <v>0.112</v>
      </c>
      <c r="P21" s="336">
        <v>7.3999999999999996E-2</v>
      </c>
      <c r="Q21" s="337">
        <v>6.5000000000000002E-2</v>
      </c>
    </row>
    <row r="22" spans="1:17" s="347" customFormat="1" ht="15.75">
      <c r="A22" s="339" t="s">
        <v>1074</v>
      </c>
      <c r="B22" s="340" t="s">
        <v>1075</v>
      </c>
      <c r="C22" s="341" t="e">
        <f>IF($C$3&lt;15,"C«ng tr×nh lËp BC KTKT",IF(C4&lt;=15,K22,IF(AND(C4&gt;$K$11,C4&lt;=$L$11),FORECAST(C4,K22:L22,$K$11:$L$11),IF(AND(C4&gt;$L$11,C4&lt;=$M$11),FORECAST(C4,L22:M22,$L$11:$M$11),IF(AND(C4&gt;$M$11,C4&lt;=$N$11),FORECAST(C4,M22:N22,$M$11:$N$11),IF(AND(C4&gt;$N$11,C4&lt;=$O$11),FORECAST(C4,N22:O22,$N$11:$O$11),IF(AND(C4&gt;$O$11,C4&lt;=$P$11),FORECAST(C4,O22:P22,$O$11:$P$11),0)))))))</f>
        <v>#REF!</v>
      </c>
      <c r="D22" s="342" t="e">
        <f>IF($C$3&lt;15,"Kh«ng cã",B4&amp;"/1.1*"&amp;ROUND(C22,3)&amp;"%")</f>
        <v>#REF!</v>
      </c>
      <c r="E22" s="343" t="e">
        <f>IF($C$3&lt;15,0,C4*10^9*ROUND(C22,3)/100)</f>
        <v>#REF!</v>
      </c>
      <c r="F22" s="344" t="s">
        <v>252</v>
      </c>
      <c r="G22" s="344"/>
      <c r="H22" s="345">
        <v>1.1140000000000001</v>
      </c>
      <c r="I22" s="345">
        <v>1.1140000000000001</v>
      </c>
      <c r="J22" s="345">
        <v>1.1140000000000001</v>
      </c>
      <c r="K22" s="345">
        <v>1.1140000000000001</v>
      </c>
      <c r="L22" s="345">
        <v>0.91400000000000003</v>
      </c>
      <c r="M22" s="345">
        <v>0.751</v>
      </c>
      <c r="N22" s="345">
        <v>0.53400000000000003</v>
      </c>
      <c r="O22" s="345">
        <v>0.40200000000000002</v>
      </c>
      <c r="P22" s="345">
        <v>0.28699999999999998</v>
      </c>
      <c r="Q22" s="346">
        <v>0.246</v>
      </c>
    </row>
    <row r="23" spans="1:17" s="347" customFormat="1" ht="15.75">
      <c r="A23" s="339" t="s">
        <v>1076</v>
      </c>
      <c r="B23" s="340" t="s">
        <v>1077</v>
      </c>
      <c r="C23" s="341" t="e">
        <f>IF($C$3&lt;15,"C«ng tr×nh lËp BC KTKT",IF(C5&lt;=15,K23,IF(AND(C5&gt;$K$11,C5&lt;=$L$11),FORECAST(C5,K23:L23,$K$11:$L$11),IF(AND(C5&gt;$L$11,C5&lt;=$M$11),FORECAST(C5,L23:M23,$L$11:$M$11),IF(AND(C5&gt;$M$11,C5&lt;=$N$11),FORECAST(C5,M23:N23,$M$11:$N$11),IF(AND(C5&gt;$N$11,C5&lt;=$O$11),FORECAST(C5,N23:O23,$N$11:$O$11),IF(AND(C5&gt;$O$11,C5&lt;=$P$11),FORECAST(C5,O23:P23,$O$11:$P$11),0)))))))</f>
        <v>#REF!</v>
      </c>
      <c r="D23" s="342" t="e">
        <f>IF($C$3&lt;15,"Kh«ng cã",B5&amp;"/1.1*"&amp;ROUND(C23,3)&amp;"%")</f>
        <v>#REF!</v>
      </c>
      <c r="E23" s="343" t="e">
        <f>IF($C$3&lt;=15,0,C5*10^9*ROUND(C23,3)/100)</f>
        <v>#REF!</v>
      </c>
      <c r="F23" s="344" t="s">
        <v>252</v>
      </c>
      <c r="G23" s="344"/>
      <c r="H23" s="345">
        <v>1.2609999999999999</v>
      </c>
      <c r="I23" s="345">
        <v>1.2609999999999999</v>
      </c>
      <c r="J23" s="345">
        <v>1.2609999999999999</v>
      </c>
      <c r="K23" s="345">
        <v>1.2609999999999999</v>
      </c>
      <c r="L23" s="345">
        <v>1.1120000000000001</v>
      </c>
      <c r="M23" s="345">
        <v>0.88200000000000001</v>
      </c>
      <c r="N23" s="345">
        <v>0.51500000000000001</v>
      </c>
      <c r="O23" s="345">
        <v>0.46600000000000003</v>
      </c>
      <c r="P23" s="345">
        <v>0.40400000000000003</v>
      </c>
      <c r="Q23" s="346">
        <v>0.315</v>
      </c>
    </row>
    <row r="24" spans="1:17" s="347" customFormat="1" ht="15.75">
      <c r="A24" s="339" t="s">
        <v>1078</v>
      </c>
      <c r="B24" s="340" t="s">
        <v>1933</v>
      </c>
      <c r="C24" s="341" t="e">
        <f>IF($C$3&lt;15,"C«ng tr×nh lËp BC KTKT",IF(C6&lt;=15,K24,IF(AND(C6&gt;$K$11,C6&lt;=$L$11),FORECAST(C6,K24:L24,$K$11:$L$11),IF(AND(C6&gt;$L$11,C6&lt;=$M$11),FORECAST(C6,L24:M24,$L$11:$M$11),IF(AND(C6&gt;$M$11,C6&lt;=$N$11),FORECAST(C6,M24:N24,$M$11:$N$11),IF(AND(C6&gt;$N$11,C6&lt;=$O$11),FORECAST(C6,N24:O24,$N$11:$O$11),IF(AND(C6&gt;$O$11,C6&lt;=$P$11),FORECAST(C6,O24:P24,$O$11:$P$11),0)))))))</f>
        <v>#REF!</v>
      </c>
      <c r="D24" s="342" t="e">
        <f>IF($C$3&lt;15,"Kh«ng cã",B6&amp;"/1.1*"&amp;ROUND(C24,3)&amp;"%")</f>
        <v>#REF!</v>
      </c>
      <c r="E24" s="343" t="e">
        <f>IF($C$3&lt;=15,0,C6*10^9*ROUND(C24,3)/100)</f>
        <v>#REF!</v>
      </c>
      <c r="F24" s="344" t="s">
        <v>252</v>
      </c>
      <c r="G24" s="985"/>
      <c r="H24" s="986">
        <v>0.68899999999999995</v>
      </c>
      <c r="I24" s="986">
        <v>0.68899999999999995</v>
      </c>
      <c r="J24" s="986">
        <v>0.68899999999999995</v>
      </c>
      <c r="K24" s="986">
        <v>0.68899999999999995</v>
      </c>
      <c r="L24" s="986">
        <v>0.628</v>
      </c>
      <c r="M24" s="986">
        <v>0.501</v>
      </c>
      <c r="N24" s="986">
        <v>0.39300000000000002</v>
      </c>
      <c r="O24" s="986">
        <v>0.27100000000000002</v>
      </c>
      <c r="P24" s="986">
        <v>0.20300000000000001</v>
      </c>
      <c r="Q24" s="987">
        <v>0.17699999999999999</v>
      </c>
    </row>
    <row r="25" spans="1:17" s="347" customFormat="1" ht="15.75">
      <c r="A25" s="339" t="s">
        <v>1079</v>
      </c>
      <c r="B25" s="340" t="s">
        <v>1080</v>
      </c>
      <c r="C25" s="341" t="e">
        <f>IF($C$3&lt;15,"C«ng tr×nh lËp BC KTKT",IF(C7&lt;=15,K25,IF(AND(C7&gt;$K$11,C7&lt;=$L$11),FORECAST(C7,K25:L25,$K$11:$L$11),IF(AND(C7&gt;$L$11,C7&lt;=$M$11),FORECAST(C7,L25:M25,$L$11:$M$11),IF(AND(C7&gt;$M$11,C7&lt;=$N$11),FORECAST(C7,M25:N25,$M$11:$N$11),IF(AND(C7&gt;$N$11,C7&lt;=$O$11),FORECAST(C7,N25:O25,$N$11:$O$11),IF(AND(C7&gt;$O$11,C7&lt;=$P$11),FORECAST(C7,O25:P25,$O$11:$P$11),0)))))))</f>
        <v>#REF!</v>
      </c>
      <c r="D25" s="342" t="e">
        <f>IF($C$3&lt;15,"Kh«ng cã",B7&amp;"/1.1*"&amp;ROUND(C25,3)&amp;"%")</f>
        <v>#REF!</v>
      </c>
      <c r="E25" s="343" t="e">
        <f>IF($C$3&lt;=15,0,C7*10^9*ROUND(C25,3)/100)</f>
        <v>#REF!</v>
      </c>
      <c r="F25" s="344" t="s">
        <v>252</v>
      </c>
      <c r="G25" s="344"/>
      <c r="H25" s="345">
        <v>0.94299999999999995</v>
      </c>
      <c r="I25" s="345">
        <v>0.94299999999999995</v>
      </c>
      <c r="J25" s="345">
        <v>0.94299999999999995</v>
      </c>
      <c r="K25" s="345">
        <v>0.94299999999999995</v>
      </c>
      <c r="L25" s="345">
        <v>0.85799999999999998</v>
      </c>
      <c r="M25" s="345">
        <v>0.68500000000000005</v>
      </c>
      <c r="N25" s="345">
        <v>0.48</v>
      </c>
      <c r="O25" s="345">
        <v>0.36099999999999999</v>
      </c>
      <c r="P25" s="345">
        <v>0.27300000000000002</v>
      </c>
      <c r="Q25" s="346">
        <v>0.23400000000000001</v>
      </c>
    </row>
    <row r="26" spans="1:17" s="347" customFormat="1" ht="15.75">
      <c r="A26" s="339" t="s">
        <v>1081</v>
      </c>
      <c r="B26" s="340" t="s">
        <v>1082</v>
      </c>
      <c r="C26" s="341" t="e">
        <f>IF($C$3&lt;15,"C«ng tr×nh lËp BC KTKT",IF(C8&lt;=15,K26,IF(AND(C8&gt;$K$11,C8&lt;=$L$11),FORECAST(C8,K26:L26,$K$11:$L$11),IF(AND(C8&gt;$L$11,C8&lt;=$M$11),FORECAST(C8,L26:M26,$L$11:$M$11),IF(AND(C8&gt;$M$11,C8&lt;=$N$11),FORECAST(C8,M26:N26,$M$11:$N$11),IF(AND(C8&gt;$N$11,C8&lt;=$O$11),FORECAST(C8,N26:O26,$N$11:$O$11),IF(AND(C8&gt;$O$11,C8&lt;=$P$11),FORECAST(C8,O26:P26,$O$11:$P$11),0)))))))</f>
        <v>#REF!</v>
      </c>
      <c r="D26" s="342" t="e">
        <f>IF($C$3&lt;15,"Kh«ng cã",B8&amp;"/1.1*"&amp;ROUND(C26,3)&amp;"%")</f>
        <v>#REF!</v>
      </c>
      <c r="E26" s="343" t="e">
        <f>IF($C$3&lt;=15,0,C8*10^9*ROUND(C26,3)/100)</f>
        <v>#REF!</v>
      </c>
      <c r="F26" s="344" t="s">
        <v>252</v>
      </c>
      <c r="G26" s="344"/>
      <c r="H26" s="345">
        <v>0.71899999999999997</v>
      </c>
      <c r="I26" s="345">
        <v>0.71899999999999997</v>
      </c>
      <c r="J26" s="345">
        <v>0.71899999999999997</v>
      </c>
      <c r="K26" s="345">
        <v>0.71899999999999997</v>
      </c>
      <c r="L26" s="345">
        <v>0.65400000000000003</v>
      </c>
      <c r="M26" s="345">
        <v>0.52400000000000002</v>
      </c>
      <c r="N26" s="345">
        <v>0.40699999999999997</v>
      </c>
      <c r="O26" s="345">
        <v>0.28000000000000003</v>
      </c>
      <c r="P26" s="345">
        <v>0.21099999999999999</v>
      </c>
      <c r="Q26" s="346">
        <v>0.185</v>
      </c>
    </row>
    <row r="27" spans="1:17" s="357" customFormat="1" ht="15.75">
      <c r="A27" s="348" t="s">
        <v>1083</v>
      </c>
      <c r="B27" s="349" t="s">
        <v>1084</v>
      </c>
      <c r="C27" s="350" t="e">
        <f>IF($C$3&gt;=15,"C«ng tr×nh lËp BC NCKT",IF(C4&lt;=$G$11,G27,IF(AND(C4&gt;$G$11,C4&lt;=$H$11),FORECAST(C4,G27:H27,$G$11:$H$11),IF(AND(C4&gt;$H$11,C4&lt;=$I$11),FORECAST(C4,H27:I27,$H$11:$I$11),IF(AND(C4&gt;$I$11,C4&lt;=$K$11),FORECAST(C4,I27:K27,$I$11:$K$11))))))</f>
        <v>#REF!</v>
      </c>
      <c r="D27" s="351" t="e">
        <f>IF($C$3&gt;=15,"Kh«ng cã",B4&amp;"/1.1*"&amp;ROUND(C27,3)&amp;"%")</f>
        <v>#REF!</v>
      </c>
      <c r="E27" s="352" t="e">
        <f>IF($C$3&gt;=15,0,C4*10^9*ROUND(C27,3)/100)</f>
        <v>#REF!</v>
      </c>
      <c r="F27" s="353" t="s">
        <v>252</v>
      </c>
      <c r="G27" s="349">
        <v>6.5</v>
      </c>
      <c r="H27" s="354">
        <v>4.7</v>
      </c>
      <c r="I27" s="354">
        <v>4.2</v>
      </c>
      <c r="J27" s="354">
        <v>3.9750000000000005</v>
      </c>
      <c r="K27" s="354">
        <v>3.6</v>
      </c>
      <c r="L27" s="355"/>
      <c r="M27" s="355"/>
      <c r="N27" s="355"/>
      <c r="O27" s="355"/>
      <c r="P27" s="355"/>
      <c r="Q27" s="356"/>
    </row>
    <row r="28" spans="1:17" s="357" customFormat="1" ht="15.75">
      <c r="A28" s="348" t="s">
        <v>1085</v>
      </c>
      <c r="B28" s="349" t="s">
        <v>1086</v>
      </c>
      <c r="C28" s="350" t="e">
        <f>IF($C$3&gt;=15,"C«ng tr×nh lËp BC NCKT",IF(C5&lt;=$G$11,G28,IF(AND(C5&gt;$G$11,C5&lt;=$H$11),FORECAST(C5,G28:H28,$G$11:$H$11),IF(AND(C5&gt;$H$11,C5&lt;=$I$11),FORECAST(C5,H28:I28,$H$11:$I$11),IF(AND(C5&gt;$I$11,C5&lt;=$K$11),FORECAST(C5,I28:K28,$I$11:$K$11))))))</f>
        <v>#REF!</v>
      </c>
      <c r="D28" s="351" t="e">
        <f>IF($C$3&gt;=15,"Kh«ng cã",B5&amp;"/1.1*"&amp;ROUND(C28,3)&amp;"%")</f>
        <v>#REF!</v>
      </c>
      <c r="E28" s="352" t="e">
        <f>IF($C$3&gt;=15,0,C5*10^9*ROUND(C28,3)/100)</f>
        <v>#REF!</v>
      </c>
      <c r="F28" s="353" t="s">
        <v>252</v>
      </c>
      <c r="G28" s="349">
        <v>6.7</v>
      </c>
      <c r="H28" s="354">
        <v>4.8</v>
      </c>
      <c r="I28" s="354">
        <v>4.3</v>
      </c>
      <c r="J28" s="354">
        <v>4.1124999999999998</v>
      </c>
      <c r="K28" s="354">
        <v>3.8</v>
      </c>
      <c r="L28" s="355"/>
      <c r="M28" s="355"/>
      <c r="N28" s="355"/>
      <c r="O28" s="355"/>
      <c r="P28" s="355"/>
      <c r="Q28" s="356"/>
    </row>
    <row r="29" spans="1:17" s="357" customFormat="1" ht="15.75">
      <c r="A29" s="348" t="s">
        <v>1087</v>
      </c>
      <c r="B29" s="349" t="s">
        <v>1274</v>
      </c>
      <c r="C29" s="350" t="e">
        <f>IF($C$3&gt;=15,"C«ng tr×nh lËp BC NCKT",IF(C6&lt;=$G$11,G29,IF(AND(C6&gt;$G$11,C6&lt;=$H$11),FORECAST(C6,G29:H29,$G$11:$H$11),IF(AND(C6&gt;$H$11,C6&lt;=$I$11),FORECAST(C6,H29:I29,$H$11:$I$11),IF(AND(C6&gt;$I$11,C6&lt;=$K$11),FORECAST(C6,I29:K29,$I$11:$K$11))))))</f>
        <v>#REF!</v>
      </c>
      <c r="D29" s="351" t="e">
        <f>IF($C$3&gt;=15,"Kh«ng cã",B6&amp;"/1.1*"&amp;ROUND(C29,3)&amp;"%")</f>
        <v>#REF!</v>
      </c>
      <c r="E29" s="352" t="e">
        <f>IF($C$3&gt;=15,0,C6*10^9*ROUND(C29,3)/100)</f>
        <v>#REF!</v>
      </c>
      <c r="F29" s="353" t="s">
        <v>252</v>
      </c>
      <c r="G29" s="988">
        <v>5.4</v>
      </c>
      <c r="H29" s="989">
        <v>3.6</v>
      </c>
      <c r="I29" s="989">
        <v>2.7</v>
      </c>
      <c r="J29" s="989">
        <v>2.625</v>
      </c>
      <c r="K29" s="989">
        <v>2.5</v>
      </c>
      <c r="L29" s="990"/>
      <c r="M29" s="990"/>
      <c r="N29" s="990"/>
      <c r="O29" s="990"/>
      <c r="P29" s="990"/>
      <c r="Q29" s="991"/>
    </row>
    <row r="30" spans="1:17" s="357" customFormat="1" ht="15.75">
      <c r="A30" s="348" t="s">
        <v>1088</v>
      </c>
      <c r="B30" s="349" t="s">
        <v>1089</v>
      </c>
      <c r="C30" s="350" t="e">
        <f>IF($C$3&gt;=15,"C«ng tr×nh lËp BC NCKT",IF(C7&lt;=$G$11,G30,IF(AND(C7&gt;$G$11,C7&lt;=$H$11),FORECAST(C7,G30:H30,$G$11:$H$11),IF(AND(C7&gt;$H$11,C7&lt;=$I$11),FORECAST(C7,H30:I30,$H$11:$I$11),IF(AND(C7&gt;$I$11,C7&lt;=$K$11),FORECAST(C7,I30:K30,$I$11:$K$11))))))</f>
        <v>#REF!</v>
      </c>
      <c r="D30" s="351" t="e">
        <f>IF($C$3&gt;=15,"Kh«ng cã",B7&amp;"/1.1*"&amp;ROUND(C30,3)&amp;"%")</f>
        <v>#REF!</v>
      </c>
      <c r="E30" s="352" t="e">
        <f>IF($C$3&gt;=15,0,C7*10^9*ROUND(C30,3)/100)</f>
        <v>#REF!</v>
      </c>
      <c r="F30" s="353" t="s">
        <v>252</v>
      </c>
      <c r="G30" s="349">
        <v>6.2</v>
      </c>
      <c r="H30" s="354">
        <v>4.4000000000000004</v>
      </c>
      <c r="I30" s="354">
        <v>3.9</v>
      </c>
      <c r="J30" s="354">
        <v>3.7874999999999996</v>
      </c>
      <c r="K30" s="354">
        <v>3.6</v>
      </c>
      <c r="L30" s="355"/>
      <c r="M30" s="355"/>
      <c r="N30" s="355"/>
      <c r="O30" s="355"/>
      <c r="P30" s="355"/>
      <c r="Q30" s="356"/>
    </row>
    <row r="31" spans="1:17" s="338" customFormat="1" ht="15.75">
      <c r="A31" s="348" t="s">
        <v>1090</v>
      </c>
      <c r="B31" s="349" t="s">
        <v>1091</v>
      </c>
      <c r="C31" s="350" t="e">
        <f>IF($C$3&gt;=15,"C«ng tr×nh lËp BC NCKT",IF(C8&lt;=$G$11,G31,IF(AND(C8&gt;$G$11,C8&lt;=$H$11),FORECAST(C8,G31:H31,$G$11:$H$11),IF(AND(C8&gt;$H$11,C8&lt;=$I$11),FORECAST(C8,H31:I31,$H$11:$I$11),IF(AND(C8&gt;$I$11,C8&lt;=$K$11),FORECAST(C8,I31:K31,$I$11:$K$11))))))</f>
        <v>#REF!</v>
      </c>
      <c r="D31" s="351" t="e">
        <f>IF($C$3&gt;=15,"Kh«ng cã",B8&amp;"/1.1*"&amp;ROUND(C31,3)&amp;"%")</f>
        <v>#REF!</v>
      </c>
      <c r="E31" s="352" t="e">
        <f>IF($C$3&gt;=15,0,C8*10^9*ROUND(C31,3)/100)</f>
        <v>#REF!</v>
      </c>
      <c r="F31" s="353" t="s">
        <v>252</v>
      </c>
      <c r="G31" s="331">
        <v>5.8</v>
      </c>
      <c r="H31" s="358">
        <v>4.2</v>
      </c>
      <c r="I31" s="358">
        <v>3.4</v>
      </c>
      <c r="J31" s="358">
        <v>3.25</v>
      </c>
      <c r="K31" s="358">
        <v>3</v>
      </c>
      <c r="L31" s="336"/>
      <c r="M31" s="336"/>
      <c r="N31" s="336"/>
      <c r="O31" s="336"/>
      <c r="P31" s="336"/>
      <c r="Q31" s="337"/>
    </row>
    <row r="32" spans="1:17" s="368" customFormat="1" ht="15.75">
      <c r="A32" s="359" t="s">
        <v>1092</v>
      </c>
      <c r="B32" s="360" t="s">
        <v>1093</v>
      </c>
      <c r="C32" s="361">
        <f>IF(C4&lt;=10,J32,IF(AND(C4&gt;$J$11,C4&lt;=$K$11),FORECAST(C4,J32:K32,$J$11:$K$11),IF(AND(C4&gt;$K$11,C4&lt;=$L$11),FORECAST(C4,K32:L32,$K$11:$L$11),IF(AND(C4&gt;$L$11,C4&lt;=$M$11),FORECAST(C4,L32:M32,$L$11:$M$11),IF(AND(C4&gt;$M$11,C4&lt;=$N$11),FORECAST(C4,M32:N32,$M$11:$N$11),IF(AND(C4&gt;$N$11,C4&lt;=$O$11),FORECAST(C4,N32:O32,$N$11:$O$11),IF(AND(C4&gt;$O$11,C4&lt;=$P$11),FORECAST(C4,O32:P32,$O$11:$P$11),0)))))))</f>
        <v>2.92</v>
      </c>
      <c r="D32" s="362" t="str">
        <f>B4&amp;"/1.1*"&amp;ROUND(C32,3)&amp;"%"</f>
        <v>A/1.1*2,92%</v>
      </c>
      <c r="E32" s="363">
        <f>C4*10^9*ROUND(C32,3)/100</f>
        <v>0</v>
      </c>
      <c r="F32" s="364" t="s">
        <v>252</v>
      </c>
      <c r="G32" s="365">
        <v>2.92</v>
      </c>
      <c r="H32" s="365">
        <v>2.92</v>
      </c>
      <c r="I32" s="365">
        <v>2.92</v>
      </c>
      <c r="J32" s="365">
        <v>2.92</v>
      </c>
      <c r="K32" s="366">
        <f t="shared" ref="K32:K41" si="0">(J32+L32)/2</f>
        <v>2.7349999999999999</v>
      </c>
      <c r="L32" s="366">
        <v>2.5499999999999998</v>
      </c>
      <c r="M32" s="365">
        <v>2.12</v>
      </c>
      <c r="N32" s="365">
        <v>1.86</v>
      </c>
      <c r="O32" s="365">
        <v>1.51</v>
      </c>
      <c r="P32" s="365">
        <v>1.3</v>
      </c>
      <c r="Q32" s="367"/>
    </row>
    <row r="33" spans="1:17" s="368" customFormat="1" ht="15.75">
      <c r="A33" s="359" t="s">
        <v>1094</v>
      </c>
      <c r="B33" s="360" t="s">
        <v>1095</v>
      </c>
      <c r="C33" s="361">
        <f>IF(C5&lt;=10,J33,IF(AND(C5&gt;$J$11,C5&lt;=$K$11),FORECAST(C5,J33:K33,$J$11:$K$11),IF(AND(C5&gt;$K$11,C5&lt;=$L$11),FORECAST(C5,K33:L33,$K$11:$L$11),IF(AND(C5&gt;$L$11,C5&lt;=$M$11),FORECAST(C5,L33:M33,$L$11:$M$11),IF(AND(C5&gt;$M$11,C5&lt;=$N$11),FORECAST(C5,M33:N33,$M$11:$N$11),IF(AND(C5&gt;$N$11,C5&lt;=$O$11),FORECAST(C5,N33:O33,$N$11:$O$11),IF(AND(C5&gt;$O$11,C5&lt;=$P$11),FORECAST(C5,O33:P33,$O$11:$P$11),0)))))))</f>
        <v>2.46</v>
      </c>
      <c r="D33" s="362" t="str">
        <f>B5&amp;"/1.1*"&amp;ROUND(C33,3)&amp;"%"</f>
        <v>B/1.1*2,46%</v>
      </c>
      <c r="E33" s="363">
        <f>C5*10^9*ROUND(C33,3)/100</f>
        <v>0</v>
      </c>
      <c r="F33" s="364" t="s">
        <v>252</v>
      </c>
      <c r="G33" s="365">
        <v>2.46</v>
      </c>
      <c r="H33" s="365">
        <v>2.46</v>
      </c>
      <c r="I33" s="365">
        <v>2.46</v>
      </c>
      <c r="J33" s="365">
        <v>2.46</v>
      </c>
      <c r="K33" s="366">
        <f t="shared" si="0"/>
        <v>2.355</v>
      </c>
      <c r="L33" s="365">
        <v>2.25</v>
      </c>
      <c r="M33" s="365">
        <v>1.89</v>
      </c>
      <c r="N33" s="365">
        <v>1.72</v>
      </c>
      <c r="O33" s="365">
        <v>1.47</v>
      </c>
      <c r="P33" s="365">
        <v>1.22</v>
      </c>
      <c r="Q33" s="367"/>
    </row>
    <row r="34" spans="1:17" s="368" customFormat="1" ht="15.75">
      <c r="A34" s="359" t="s">
        <v>1096</v>
      </c>
      <c r="B34" s="360" t="s">
        <v>1934</v>
      </c>
      <c r="C34" s="361" t="e">
        <f>IF(C6&lt;=10,J34,IF(AND(C6&gt;$J$11,C6&lt;=$K$11),FORECAST(C6,J34:K34,$J$11:$K$11),IF(AND(C6&gt;$K$11,C6&lt;=$L$11),FORECAST(C6,K34:L34,$K$11:$L$11),IF(AND(C6&gt;$L$11,C6&lt;=$M$11),FORECAST(C6,L34:M34,$L$11:$M$11),IF(AND(C6&gt;$M$11,C6&lt;=$N$11),FORECAST(C6,M34:N34,$M$11:$N$11),IF(AND(C6&gt;$N$11,C6&lt;=$O$11),FORECAST(C6,N34:O34,$N$11:$O$11),IF(AND(C6&gt;$O$11,C6&lt;=$P$11),FORECAST(C6,O34:P34,$O$11:$P$11),0)))))))</f>
        <v>#REF!</v>
      </c>
      <c r="D34" s="362" t="e">
        <f>B6&amp;"/1.1*"&amp;ROUND(C34,3)&amp;"%"</f>
        <v>#REF!</v>
      </c>
      <c r="E34" s="363" t="e">
        <f>C6*10^9*ROUND(C34,3)/100</f>
        <v>#REF!</v>
      </c>
      <c r="F34" s="364" t="s">
        <v>252</v>
      </c>
      <c r="G34" s="992">
        <v>1.37</v>
      </c>
      <c r="H34" s="993">
        <v>1.37</v>
      </c>
      <c r="I34" s="993">
        <v>1.37</v>
      </c>
      <c r="J34" s="993">
        <v>1.37</v>
      </c>
      <c r="K34" s="994">
        <f t="shared" si="0"/>
        <v>1.3149999999999999</v>
      </c>
      <c r="L34" s="993">
        <v>1.26</v>
      </c>
      <c r="M34" s="993">
        <v>1.08</v>
      </c>
      <c r="N34" s="993">
        <v>0.98</v>
      </c>
      <c r="O34" s="993">
        <v>0.83</v>
      </c>
      <c r="P34" s="993">
        <v>0.71</v>
      </c>
      <c r="Q34" s="995"/>
    </row>
    <row r="35" spans="1:17" s="368" customFormat="1" ht="15.75">
      <c r="A35" s="359" t="s">
        <v>1097</v>
      </c>
      <c r="B35" s="360" t="s">
        <v>1098</v>
      </c>
      <c r="C35" s="361">
        <f>IF(C7&lt;=10,J35,IF(AND(C7&gt;$J$11,C7&lt;=$K$11),FORECAST(C7,J35:K35,$J$11:$K$11),IF(AND(C7&gt;$K$11,C7&lt;=$L$11),FORECAST(C7,K35:L35,$K$11:$L$11),IF(AND(C7&gt;$L$11,C7&lt;=$M$11),FORECAST(C7,L35:M35,$L$11:$M$11),IF(AND(C7&gt;$M$11,C7&lt;=$N$11),FORECAST(C7,M35:N35,$M$11:$N$11),IF(AND(C7&gt;$N$11,C7&lt;=$O$11),FORECAST(C7,N35:O35,$N$11:$O$11),IF(AND(C7&gt;$O$11,C7&lt;=$P$11),FORECAST(C7,O35:P35,$O$11:$P$11),0)))))))</f>
        <v>2.48</v>
      </c>
      <c r="D35" s="362" t="e">
        <f>B7&amp;"/1.1*"&amp;ROUND(C35,3)&amp;"%"</f>
        <v>#REF!</v>
      </c>
      <c r="E35" s="363">
        <f>C7*10^9*ROUND(C35,3)/100</f>
        <v>0</v>
      </c>
      <c r="F35" s="364" t="s">
        <v>252</v>
      </c>
      <c r="G35" s="365">
        <v>2.48</v>
      </c>
      <c r="H35" s="365">
        <v>2.48</v>
      </c>
      <c r="I35" s="365">
        <v>2.48</v>
      </c>
      <c r="J35" s="365">
        <v>2.48</v>
      </c>
      <c r="K35" s="366">
        <f t="shared" si="0"/>
        <v>2.335</v>
      </c>
      <c r="L35" s="365">
        <v>2.19</v>
      </c>
      <c r="M35" s="365">
        <v>1.82</v>
      </c>
      <c r="N35" s="365">
        <v>1.61</v>
      </c>
      <c r="O35" s="365">
        <v>1.41</v>
      </c>
      <c r="P35" s="365">
        <v>1.1399999999999999</v>
      </c>
      <c r="Q35" s="367"/>
    </row>
    <row r="36" spans="1:17" s="368" customFormat="1" ht="15.75">
      <c r="A36" s="359" t="s">
        <v>1099</v>
      </c>
      <c r="B36" s="360" t="s">
        <v>1100</v>
      </c>
      <c r="C36" s="361">
        <f>IF(C8&lt;=10,J36,IF(AND(C8&gt;$J$11,C8&lt;=$K$11),FORECAST(C8,J36:K36,$J$11:$K$11),IF(AND(C8&gt;$K$11,C8&lt;=$L$11),FORECAST(C8,K36:L36,$K$11:$L$11),IF(AND(C8&gt;$L$11,C8&lt;=$M$11),FORECAST(C8,L36:M36,$L$11:$M$11),IF(AND(C8&gt;$M$11,C8&lt;=$N$11),FORECAST(C8,M36:N36,$M$11:$N$11),IF(AND(C8&gt;$N$11,C8&lt;=$O$11),FORECAST(C8,N36:O36,$N$11:$O$11),IF(AND(C8&gt;$O$11,C8&lt;=$P$11),FORECAST(C8,O36:P36,$O$11:$P$11),0)))))))</f>
        <v>2.0699999999999998</v>
      </c>
      <c r="D36" s="362" t="e">
        <f>B8&amp;"/1.1*"&amp;ROUND(C36,3)&amp;"%"</f>
        <v>#REF!</v>
      </c>
      <c r="E36" s="363">
        <f>C8*10^9*ROUND(C36,3)/100</f>
        <v>0</v>
      </c>
      <c r="F36" s="364" t="s">
        <v>252</v>
      </c>
      <c r="G36" s="365">
        <v>2.0699999999999998</v>
      </c>
      <c r="H36" s="365">
        <v>2.0699999999999998</v>
      </c>
      <c r="I36" s="365">
        <v>2.0699999999999998</v>
      </c>
      <c r="J36" s="365">
        <v>2.0699999999999998</v>
      </c>
      <c r="K36" s="366">
        <f t="shared" si="0"/>
        <v>1.915</v>
      </c>
      <c r="L36" s="365">
        <v>1.76</v>
      </c>
      <c r="M36" s="365">
        <v>1.49</v>
      </c>
      <c r="N36" s="365">
        <v>1.35</v>
      </c>
      <c r="O36" s="365">
        <v>1.1499999999999999</v>
      </c>
      <c r="P36" s="365">
        <v>0.98</v>
      </c>
      <c r="Q36" s="367"/>
    </row>
    <row r="37" spans="1:17" s="377" customFormat="1" ht="15.75">
      <c r="A37" s="369" t="s">
        <v>1101</v>
      </c>
      <c r="B37" s="370" t="s">
        <v>1102</v>
      </c>
      <c r="C37" s="371">
        <f>IF(C4&lt;=10,J37,IF(AND(C4&gt;$J$11,C4&lt;=$K$11),FORECAST(C4,J37:K37,$J$11:$K$11),IF(AND(C4&gt;$K$11,C4&lt;=$L$11),FORECAST(C4,K37:L37,$K$11:$L$11),IF(AND(C4&gt;$L$11,C4&lt;=$M$11),FORECAST(C4,L37:M37,$L$11:$M$11),IF(AND(C4&gt;$M$11,C4&lt;=$N$11),FORECAST(C4,M37:N37,$M$11:$N$11),IF(AND(C4&gt;$N$11,C4&lt;=$O$11),FORECAST(C4,N37:O37,$N$11:$O$11),IF(AND(C4&gt;$O$11,C4&lt;=$P$11),FORECAST(C4,O37:P37,$O$11:$P$11),0)))))))</f>
        <v>3.41</v>
      </c>
      <c r="D37" s="372" t="str">
        <f>B4&amp;"/1.1*"&amp;ROUND(C37,3)&amp;"%"</f>
        <v>A/1.1*3,41%</v>
      </c>
      <c r="E37" s="373">
        <f>C4*10^9*ROUND(C37,3)/100</f>
        <v>0</v>
      </c>
      <c r="F37" s="374" t="s">
        <v>252</v>
      </c>
      <c r="G37" s="375">
        <v>3.41</v>
      </c>
      <c r="H37" s="375">
        <v>3.41</v>
      </c>
      <c r="I37" s="375">
        <v>3.41</v>
      </c>
      <c r="J37" s="375">
        <v>3.41</v>
      </c>
      <c r="K37" s="375">
        <f t="shared" si="0"/>
        <v>3.18</v>
      </c>
      <c r="L37" s="375">
        <v>2.95</v>
      </c>
      <c r="M37" s="375">
        <v>2.48</v>
      </c>
      <c r="N37" s="375">
        <v>2.25</v>
      </c>
      <c r="O37" s="375">
        <v>2.0699999999999998</v>
      </c>
      <c r="P37" s="375">
        <v>1.75</v>
      </c>
      <c r="Q37" s="376">
        <v>1.43</v>
      </c>
    </row>
    <row r="38" spans="1:17" s="377" customFormat="1" ht="15.75">
      <c r="A38" s="369" t="s">
        <v>1103</v>
      </c>
      <c r="B38" s="370" t="s">
        <v>1104</v>
      </c>
      <c r="C38" s="371">
        <f>IF(C5&lt;=10,J38,IF(AND(C5&gt;$J$11,C5&lt;=$K$11),FORECAST(C5,J38:K38,$J$11:$K$11),IF(AND(C5&gt;$K$11,C5&lt;=$L$11),FORECAST(C5,K38:L38,$K$11:$L$11),IF(AND(C5&gt;$L$11,C5&lt;=$M$11),FORECAST(C5,L38:M38,$L$11:$M$11),IF(AND(C5&gt;$M$11,C5&lt;=$N$11),FORECAST(C5,M38:N38,$M$11:$N$11),IF(AND(C5&gt;$N$11,C5&lt;=$O$11),FORECAST(C5,N38:O38,$N$11:$O$11),IF(AND(C5&gt;$O$11,C5&lt;=$P$11),FORECAST(C5,O38:P38,$O$11:$P$11),0)))))))</f>
        <v>2.78</v>
      </c>
      <c r="D38" s="372" t="str">
        <f>B5&amp;"/1.1*"&amp;ROUND(C38,3)&amp;"%"</f>
        <v>B/1.1*2,78%</v>
      </c>
      <c r="E38" s="373">
        <f>C5*10^9*ROUND(C38,3)/100</f>
        <v>0</v>
      </c>
      <c r="F38" s="374" t="s">
        <v>252</v>
      </c>
      <c r="G38" s="375">
        <v>2.78</v>
      </c>
      <c r="H38" s="375">
        <v>2.78</v>
      </c>
      <c r="I38" s="375">
        <v>2.78</v>
      </c>
      <c r="J38" s="375">
        <v>2.78</v>
      </c>
      <c r="K38" s="375">
        <f t="shared" si="0"/>
        <v>2.6749999999999998</v>
      </c>
      <c r="L38" s="375">
        <v>2.57</v>
      </c>
      <c r="M38" s="375">
        <v>2.16</v>
      </c>
      <c r="N38" s="375">
        <v>1.99</v>
      </c>
      <c r="O38" s="375">
        <v>1.79</v>
      </c>
      <c r="P38" s="375">
        <v>1.68</v>
      </c>
      <c r="Q38" s="376">
        <v>1.47</v>
      </c>
    </row>
    <row r="39" spans="1:17" s="377" customFormat="1" ht="15.75">
      <c r="A39" s="369" t="s">
        <v>1105</v>
      </c>
      <c r="B39" s="370" t="s">
        <v>1106</v>
      </c>
      <c r="C39" s="371" t="e">
        <f>IF(C6&lt;=10,J39,IF(AND(C6&gt;$J$11,C6&lt;=$K$11),FORECAST(C6,J39:K39,$J$11:$K$11),IF(AND(C6&gt;$K$11,C6&lt;=$L$11),FORECAST(C6,K39:L39,$K$11:$L$11),IF(AND(C6&gt;$L$11,C6&lt;=$M$11),FORECAST(C6,L39:M39,$L$11:$M$11),IF(AND(C6&gt;$M$11,C6&lt;=$N$11),FORECAST(C6,M39:N39,$M$11:$N$11),IF(AND(C6&gt;$N$11,C6&lt;=$O$11),FORECAST(C6,N39:O39,$N$11:$O$11),IF(AND(C6&gt;$O$11,C6&lt;=$P$11),FORECAST(C6,O39:P39,$O$11:$P$11),0)))))))</f>
        <v>#REF!</v>
      </c>
      <c r="D39" s="372" t="e">
        <f>B6&amp;"/1.1*"&amp;ROUND(C39,3)&amp;"%"</f>
        <v>#REF!</v>
      </c>
      <c r="E39" s="373" t="e">
        <f>C6*10^9*ROUND(C39,3)/100</f>
        <v>#REF!</v>
      </c>
      <c r="F39" s="374" t="s">
        <v>252</v>
      </c>
      <c r="G39" s="996">
        <v>1.48</v>
      </c>
      <c r="H39" s="997">
        <v>1.48</v>
      </c>
      <c r="I39" s="997">
        <v>1.48</v>
      </c>
      <c r="J39" s="997">
        <v>1.48</v>
      </c>
      <c r="K39" s="997">
        <f t="shared" si="0"/>
        <v>1.425</v>
      </c>
      <c r="L39" s="997">
        <v>1.37</v>
      </c>
      <c r="M39" s="997">
        <v>1.17</v>
      </c>
      <c r="N39" s="997">
        <v>1.06</v>
      </c>
      <c r="O39" s="997">
        <v>0.97</v>
      </c>
      <c r="P39" s="997">
        <v>0.82</v>
      </c>
      <c r="Q39" s="998">
        <v>0.7</v>
      </c>
    </row>
    <row r="40" spans="1:17" s="377" customFormat="1" ht="15.75">
      <c r="A40" s="369" t="s">
        <v>1107</v>
      </c>
      <c r="B40" s="370" t="s">
        <v>1108</v>
      </c>
      <c r="C40" s="371">
        <f>IF(C7&lt;=10,J40,IF(AND(C7&gt;$J$11,C7&lt;=$K$11),FORECAST(C7,J40:K40,$J$11:$K$11),IF(AND(C7&gt;$K$11,C7&lt;=$L$11),FORECAST(C7,K40:L40,$K$11:$L$11),IF(AND(C7&gt;$L$11,C7&lt;=$M$11),FORECAST(C7,L40:M40,$L$11:$M$11),IF(AND(C7&gt;$M$11,C7&lt;=$N$11),FORECAST(C7,M40:N40,$M$11:$N$11),IF(AND(C7&gt;$N$11,C7&lt;=$O$11),FORECAST(C7,N40:O40,$N$11:$O$11),IF(AND(C7&gt;$O$11,C7&lt;=$P$11),FORECAST(C7,O40:P40,$O$11:$P$11),0)))))))</f>
        <v>3.13</v>
      </c>
      <c r="D40" s="372" t="e">
        <f>B7&amp;"/1.1*"&amp;ROUND(C40,3)&amp;"%"</f>
        <v>#REF!</v>
      </c>
      <c r="E40" s="373">
        <f>C7*10^9*ROUND(C40,3)/100</f>
        <v>0</v>
      </c>
      <c r="F40" s="374" t="s">
        <v>252</v>
      </c>
      <c r="G40" s="375">
        <v>3.13</v>
      </c>
      <c r="H40" s="375">
        <v>3.13</v>
      </c>
      <c r="I40" s="375">
        <v>3.13</v>
      </c>
      <c r="J40" s="375">
        <v>3.13</v>
      </c>
      <c r="K40" s="375">
        <f t="shared" si="0"/>
        <v>2.9449999999999998</v>
      </c>
      <c r="L40" s="375">
        <v>2.76</v>
      </c>
      <c r="M40" s="375">
        <v>2.31</v>
      </c>
      <c r="N40" s="375">
        <v>2.0699999999999998</v>
      </c>
      <c r="O40" s="375">
        <v>1.79</v>
      </c>
      <c r="P40" s="375">
        <v>1.52</v>
      </c>
      <c r="Q40" s="376">
        <v>1.29</v>
      </c>
    </row>
    <row r="41" spans="1:17" s="377" customFormat="1" ht="15.75">
      <c r="A41" s="369" t="s">
        <v>1109</v>
      </c>
      <c r="B41" s="370" t="s">
        <v>1110</v>
      </c>
      <c r="C41" s="371">
        <f>IF(C8&lt;=10,J41,IF(AND(C8&gt;$J$11,C8&lt;=$K$11),FORECAST(C8,J41:K41,$J$11:$K$11),IF(AND(C8&gt;$K$11,C8&lt;=$L$11),FORECAST(C8,K41:L41,$K$11:$L$11),IF(AND(C8&gt;$L$11,C8&lt;=$M$11),FORECAST(C8,L41:M41,$L$11:$M$11),IF(AND(C8&gt;$M$11,C8&lt;=$N$11),FORECAST(C8,M41:N41,$M$11:$N$11),IF(AND(C8&gt;$N$11,C8&lt;=$O$11),FORECAST(C8,N41:O41,$N$11:$O$11),IF(AND(C8&gt;$O$11,C8&lt;=$P$11),FORECAST(C8,O41:P41,$O$11:$P$11),0)))))))</f>
        <v>2.36</v>
      </c>
      <c r="D41" s="372" t="e">
        <f>B8&amp;"/1.1*"&amp;ROUND(C41,3)&amp;"%"</f>
        <v>#REF!</v>
      </c>
      <c r="E41" s="373">
        <f>C8*10^9*ROUND(C41,3)/100</f>
        <v>0</v>
      </c>
      <c r="F41" s="374" t="s">
        <v>252</v>
      </c>
      <c r="G41" s="375">
        <v>2.36</v>
      </c>
      <c r="H41" s="375">
        <v>2.36</v>
      </c>
      <c r="I41" s="375">
        <v>2.36</v>
      </c>
      <c r="J41" s="375">
        <v>2.36</v>
      </c>
      <c r="K41" s="375">
        <f t="shared" si="0"/>
        <v>2.1849999999999996</v>
      </c>
      <c r="L41" s="375">
        <v>2.0099999999999998</v>
      </c>
      <c r="M41" s="375">
        <v>1.72</v>
      </c>
      <c r="N41" s="375">
        <v>1.55</v>
      </c>
      <c r="O41" s="375">
        <v>1.39</v>
      </c>
      <c r="P41" s="375">
        <v>1.1599999999999999</v>
      </c>
      <c r="Q41" s="376">
        <v>1.02</v>
      </c>
    </row>
    <row r="42" spans="1:17" s="386" customFormat="1" ht="15.75">
      <c r="A42" s="378" t="s">
        <v>1111</v>
      </c>
      <c r="B42" s="379" t="s">
        <v>1112</v>
      </c>
      <c r="C42" s="380" t="e">
        <f>IF($C$3&lt;15,"C«ng tr×nh lËp BC KTKT",IF(C4&lt;=15,K42,IF(AND(C4&gt;$K$11,C4&lt;=$L$11),FORECAST(C4,K42:L42,$K$11:$L$11),IF(AND(C4&gt;$L$11,C4&lt;=$M$11),FORECAST(C4,L42:M42,$L$11:$M$11),IF(AND(C4&gt;$M$11,C4&lt;=$N$11),FORECAST(C4,M42:N42,$M$11:$N$11),IF(AND(C4&gt;$N$11,C4&lt;=$O$11),FORECAST(C4,N42:O42,$N$11:$O$11),IF(AND(C4&gt;$O$11,C4&lt;=$P$11),FORECAST(C4,O42:P42,$O$11:$P$11),0)))))))</f>
        <v>#REF!</v>
      </c>
      <c r="D42" s="381" t="e">
        <f>IF($C$3&lt;15,"Kh«ng cã",B4&amp;"/1.1*"&amp;ROUND(C42,3)&amp;"%")</f>
        <v>#REF!</v>
      </c>
      <c r="E42" s="382" t="e">
        <f>IF($C$3&lt;15,0,C4*10^9*ROUND(C42,3)/100)</f>
        <v>#REF!</v>
      </c>
      <c r="F42" s="383" t="s">
        <v>253</v>
      </c>
      <c r="G42" s="383"/>
      <c r="H42" s="384"/>
      <c r="I42" s="384"/>
      <c r="J42" s="384"/>
      <c r="K42" s="384"/>
      <c r="L42" s="384"/>
      <c r="M42" s="384"/>
      <c r="N42" s="384"/>
      <c r="O42" s="384"/>
      <c r="P42" s="384"/>
      <c r="Q42" s="385"/>
    </row>
    <row r="43" spans="1:17" s="386" customFormat="1" ht="15.75">
      <c r="A43" s="378" t="s">
        <v>1113</v>
      </c>
      <c r="B43" s="379" t="s">
        <v>1114</v>
      </c>
      <c r="C43" s="380" t="e">
        <f>IF($C$3&lt;15,"C«ng tr×nh lËp BC KTKT",IF(C5&lt;=15,K43,IF(AND(C5&gt;$K$11,C5&lt;=$L$11),FORECAST(C5,K43:L43,$K$11:$L$11),IF(AND(C5&gt;$L$11,C5&lt;=$M$11),FORECAST(C5,L43:M43,$L$11:$M$11),IF(AND(C5&gt;$M$11,C5&lt;=$N$11),FORECAST(C5,M43:N43,$M$11:$N$11),IF(AND(C5&gt;$N$11,C5&lt;=$O$11),FORECAST(C5,N43:O43,$N$11:$O$11),IF(AND(C5&gt;$O$11,C5&lt;=$P$11),FORECAST(C5,O43:P43,$O$11:$P$11),0)))))))</f>
        <v>#REF!</v>
      </c>
      <c r="D43" s="381" t="e">
        <f>IF($C$3&lt;15,"Kh«ng cã",B5&amp;"/1.1*"&amp;ROUND(C43,3)&amp;"%")</f>
        <v>#REF!</v>
      </c>
      <c r="E43" s="382" t="e">
        <f>IF($C$3&lt;15,0,C5*10^9*ROUND(C43,3)/100)</f>
        <v>#REF!</v>
      </c>
      <c r="F43" s="383" t="s">
        <v>253</v>
      </c>
      <c r="G43" s="383"/>
      <c r="H43" s="384"/>
      <c r="I43" s="384"/>
      <c r="J43" s="384"/>
      <c r="K43" s="384"/>
      <c r="L43" s="384"/>
      <c r="M43" s="384"/>
      <c r="N43" s="384"/>
      <c r="O43" s="384"/>
      <c r="P43" s="384"/>
      <c r="Q43" s="385"/>
    </row>
    <row r="44" spans="1:17" s="386" customFormat="1" ht="15.75">
      <c r="A44" s="378" t="s">
        <v>1115</v>
      </c>
      <c r="B44" s="379" t="s">
        <v>1116</v>
      </c>
      <c r="C44" s="380" t="e">
        <f>IF($C$3&lt;15,"C«ng tr×nh lËp BC KTKT",IF(C6&lt;=15,K44,IF(AND(C6&gt;$K$11,C6&lt;=$L$11),FORECAST(C6,K44:L44,$K$11:$L$11),IF(AND(C6&gt;$L$11,C6&lt;=$M$11),FORECAST(C6,L44:M44,$L$11:$M$11),IF(AND(C6&gt;$M$11,C6&lt;=$N$11),FORECAST(C6,M44:N44,$M$11:$N$11),IF(AND(C6&gt;$N$11,C6&lt;=$O$11),FORECAST(C6,N44:O44,$N$11:$O$11),IF(AND(C6&gt;$O$11,C6&lt;=$P$11),FORECAST(C6,O44:P44,$O$11:$P$11),0)))))))</f>
        <v>#REF!</v>
      </c>
      <c r="D44" s="381" t="e">
        <f>IF($C$3&lt;15,"Kh«ng cã",B6&amp;"/1.1*"&amp;ROUND(C44,3)&amp;"%")</f>
        <v>#REF!</v>
      </c>
      <c r="E44" s="382" t="e">
        <f>IF($C$3&lt;15,0,C6*10^9*ROUND(C44,3)/100)</f>
        <v>#REF!</v>
      </c>
      <c r="F44" s="383" t="s">
        <v>253</v>
      </c>
      <c r="G44" s="383"/>
      <c r="H44" s="384"/>
      <c r="I44" s="384"/>
      <c r="J44" s="384"/>
      <c r="K44" s="384">
        <v>5.3999999999999999E-2</v>
      </c>
      <c r="L44" s="384">
        <v>4.9000000000000002E-2</v>
      </c>
      <c r="M44" s="384">
        <v>3.9E-2</v>
      </c>
      <c r="N44" s="384">
        <v>0.03</v>
      </c>
      <c r="O44" s="384">
        <v>0.02</v>
      </c>
      <c r="P44" s="384">
        <v>1.2999999999999999E-2</v>
      </c>
      <c r="Q44" s="385">
        <v>1.0999999999999999E-2</v>
      </c>
    </row>
    <row r="45" spans="1:17" s="386" customFormat="1" ht="15.75">
      <c r="A45" s="378" t="s">
        <v>1117</v>
      </c>
      <c r="B45" s="379" t="s">
        <v>1118</v>
      </c>
      <c r="C45" s="380" t="e">
        <f>IF($C$3&lt;15,"C«ng tr×nh lËp BC KTKT",IF(C7&lt;=15,K45,IF(AND(C7&gt;$K$11,C7&lt;=$L$11),FORECAST(C7,K45:L45,$K$11:$L$11),IF(AND(C7&gt;$L$11,C7&lt;=$M$11),FORECAST(C7,L45:M45,$L$11:$M$11),IF(AND(C7&gt;$M$11,C7&lt;=$N$11),FORECAST(C7,M45:N45,$M$11:$N$11),IF(AND(C7&gt;$N$11,C7&lt;=$O$11),FORECAST(C7,N45:O45,$N$11:$O$11),IF(AND(C7&gt;$O$11,C7&lt;=$P$11),FORECAST(C7,O45:P45,$O$11:$P$11),0)))))))</f>
        <v>#REF!</v>
      </c>
      <c r="D45" s="381" t="e">
        <f>IF($C$3&lt;15,"Kh«ng cã",B7&amp;"/1.1*"&amp;ROUND(C45,3)&amp;"%")</f>
        <v>#REF!</v>
      </c>
      <c r="E45" s="382" t="e">
        <f>IF($C$3&lt;15,0,C7*10^9*ROUND(C45,3)/100)</f>
        <v>#REF!</v>
      </c>
      <c r="F45" s="383" t="s">
        <v>253</v>
      </c>
      <c r="G45" s="383"/>
      <c r="H45" s="384"/>
      <c r="I45" s="384"/>
      <c r="J45" s="384"/>
      <c r="K45" s="384"/>
      <c r="L45" s="384"/>
      <c r="M45" s="384"/>
      <c r="N45" s="384"/>
      <c r="O45" s="384"/>
      <c r="P45" s="384"/>
      <c r="Q45" s="385"/>
    </row>
    <row r="46" spans="1:17" s="386" customFormat="1" ht="15.75">
      <c r="A46" s="378" t="s">
        <v>1119</v>
      </c>
      <c r="B46" s="379" t="s">
        <v>1120</v>
      </c>
      <c r="C46" s="380" t="e">
        <f>IF($C$3&lt;15,"C«ng tr×nh lËp BC KTKT",IF(C8&lt;=15,K46,IF(AND(C8&gt;$K$11,C8&lt;=$L$11),FORECAST(C8,K46:L46,$K$11:$L$11),IF(AND(C8&gt;$L$11,C8&lt;=$M$11),FORECAST(C8,L46:M46,$L$11:$M$11),IF(AND(C8&gt;$M$11,C8&lt;=$N$11),FORECAST(C8,M46:N46,$M$11:$N$11),IF(AND(C8&gt;$N$11,C8&lt;=$O$11),FORECAST(C8,N46:O46,$N$11:$O$11),IF(AND(C8&gt;$O$11,C8&lt;=$P$11),FORECAST(C8,O46:P46,$O$11:$P$11),0)))))))</f>
        <v>#REF!</v>
      </c>
      <c r="D46" s="381" t="e">
        <f>IF($C$3&lt;15,"Kh«ng cã",B8&amp;"/1.1*"&amp;ROUND(C46,3)&amp;"%")</f>
        <v>#REF!</v>
      </c>
      <c r="E46" s="382" t="e">
        <f>IF($C$3&lt;15,0,C8*10^9*ROUND(C46,3)/100)</f>
        <v>#REF!</v>
      </c>
      <c r="F46" s="383" t="s">
        <v>253</v>
      </c>
      <c r="G46" s="383"/>
      <c r="H46" s="384"/>
      <c r="I46" s="384"/>
      <c r="J46" s="384"/>
      <c r="K46" s="384"/>
      <c r="L46" s="384"/>
      <c r="M46" s="384"/>
      <c r="N46" s="384"/>
      <c r="O46" s="384"/>
      <c r="P46" s="384"/>
      <c r="Q46" s="385"/>
    </row>
    <row r="47" spans="1:17" s="395" customFormat="1" ht="15.75">
      <c r="A47" s="387" t="s">
        <v>1121</v>
      </c>
      <c r="B47" s="388" t="s">
        <v>1122</v>
      </c>
      <c r="C47" s="389" t="e">
        <f>IF($C$3&lt;15,"C«ng tr×nh lËp BC KTKT",IF(C4&lt;=15,K47,IF(AND(C4&gt;$K$11,C4&lt;=$L$11),FORECAST(C4,K47:L47,$K$11:$L$11),IF(AND(C4&gt;$L$11,C4&lt;=$M$11),FORECAST(C4,L47:M47,$L$11:$M$11),IF(AND(C4&gt;$M$11,C4&lt;=$N$11),FORECAST(C4,M47:N47,$M$11:$N$11),IF(AND(C4&gt;$N$11,C4&lt;=$O$11),FORECAST(C4,N47:O47,$N$11:$O$11),IF(AND(C4&gt;$O$11,C4&lt;=$P$11),FORECAST(C4,O47:P47,$O$11:$P$11),0)))))))</f>
        <v>#REF!</v>
      </c>
      <c r="D47" s="390" t="e">
        <f>IF($C$3&lt;15,"Kh«ng cã",B4&amp;"/1.1*"&amp;ROUND(C47,3)&amp;"%")</f>
        <v>#REF!</v>
      </c>
      <c r="E47" s="391" t="e">
        <f>IF($C$3&lt;15,0,C4*10^9*ROUND(C47,3)/100)</f>
        <v>#REF!</v>
      </c>
      <c r="F47" s="392" t="s">
        <v>253</v>
      </c>
      <c r="G47" s="392"/>
      <c r="H47" s="393"/>
      <c r="I47" s="393"/>
      <c r="J47" s="393"/>
      <c r="K47" s="393">
        <v>0.153</v>
      </c>
      <c r="L47" s="393">
        <v>0.13900000000000001</v>
      </c>
      <c r="M47" s="393">
        <v>0.112</v>
      </c>
      <c r="N47" s="393">
        <v>8.6999999999999994E-2</v>
      </c>
      <c r="O47" s="393">
        <v>5.8000000000000003E-2</v>
      </c>
      <c r="P47" s="393">
        <v>3.5999999999999997E-2</v>
      </c>
      <c r="Q47" s="394">
        <v>3.2000000000000001E-2</v>
      </c>
    </row>
    <row r="48" spans="1:17" s="395" customFormat="1" ht="15.75">
      <c r="A48" s="387" t="s">
        <v>1123</v>
      </c>
      <c r="B48" s="388" t="s">
        <v>1124</v>
      </c>
      <c r="C48" s="389" t="e">
        <f>IF($C$3&lt;15,"C«ng tr×nh lËp BC KTKT",IF(C5&lt;=15,K48,IF(AND(C5&gt;$K$11,C5&lt;=$L$11),FORECAST(C5,K48:L48,$K$11:$L$11),IF(AND(C5&gt;$L$11,C5&lt;=$M$11),FORECAST(C5,L48:M48,$L$11:$M$11),IF(AND(C5&gt;$M$11,C5&lt;=$N$11),FORECAST(C5,M48:N48,$M$11:$N$11),IF(AND(C5&gt;$N$11,C5&lt;=$O$11),FORECAST(C5,N48:O48,$N$11:$O$11),IF(AND(C5&gt;$O$11,C5&lt;=$P$11),FORECAST(C5,O48:P48,$O$11:$P$11),0)))))))</f>
        <v>#REF!</v>
      </c>
      <c r="D48" s="390" t="e">
        <f>IF($C$3&lt;15,"Kh«ng cã",B5&amp;"/1.1*"&amp;ROUND(C48,3)&amp;"%")</f>
        <v>#REF!</v>
      </c>
      <c r="E48" s="391" t="e">
        <f>IF($C$3&lt;15,0,C5*10^9*ROUND(C48,3)/100)</f>
        <v>#REF!</v>
      </c>
      <c r="F48" s="392" t="s">
        <v>253</v>
      </c>
      <c r="G48" s="392"/>
      <c r="H48" s="393"/>
      <c r="I48" s="393"/>
      <c r="J48" s="393"/>
      <c r="K48" s="393"/>
      <c r="L48" s="393"/>
      <c r="M48" s="393"/>
      <c r="N48" s="393"/>
      <c r="O48" s="393"/>
      <c r="P48" s="393"/>
      <c r="Q48" s="394"/>
    </row>
    <row r="49" spans="1:17" s="395" customFormat="1" ht="15.75">
      <c r="A49" s="387" t="s">
        <v>1125</v>
      </c>
      <c r="B49" s="388" t="s">
        <v>1126</v>
      </c>
      <c r="C49" s="389" t="e">
        <f>IF($C$3&lt;15,"C«ng tr×nh lËp BC KTKT",IF(C6&lt;=15,K49,IF(AND(C6&gt;$K$11,C6&lt;=$L$11),FORECAST(C6,K49:L49,$K$11:$L$11),IF(AND(C6&gt;$L$11,C6&lt;=$M$11),FORECAST(C6,L49:M49,$L$11:$M$11),IF(AND(C6&gt;$M$11,C6&lt;=$N$11),FORECAST(C6,M49:N49,$M$11:$N$11),IF(AND(C6&gt;$N$11,C6&lt;=$O$11),FORECAST(C6,N49:O49,$N$11:$O$11),IF(AND(C6&gt;$O$11,C6&lt;=$P$11),FORECAST(C6,O49:P49,$O$11:$P$11),0)))))))</f>
        <v>#REF!</v>
      </c>
      <c r="D49" s="390" t="e">
        <f>IF($C$3&lt;15,"Kh«ng cã",B6&amp;"/1.1*"&amp;ROUND(C49,3)&amp;"%")</f>
        <v>#REF!</v>
      </c>
      <c r="E49" s="391" t="e">
        <f>IF($C$3&lt;15,0,C6*10^9*ROUND(C49,3)/100)</f>
        <v>#REF!</v>
      </c>
      <c r="F49" s="392" t="s">
        <v>253</v>
      </c>
      <c r="G49" s="392"/>
      <c r="H49" s="393"/>
      <c r="I49" s="393"/>
      <c r="J49" s="393"/>
      <c r="K49" s="393"/>
      <c r="L49" s="393"/>
      <c r="M49" s="393"/>
      <c r="N49" s="393"/>
      <c r="O49" s="393"/>
      <c r="P49" s="393"/>
      <c r="Q49" s="394"/>
    </row>
    <row r="50" spans="1:17" s="395" customFormat="1" ht="15.75">
      <c r="A50" s="387" t="s">
        <v>1127</v>
      </c>
      <c r="B50" s="388" t="s">
        <v>1128</v>
      </c>
      <c r="C50" s="389" t="e">
        <f>IF($C$3&lt;15,"C«ng tr×nh lËp BC KTKT",IF(C7&lt;=15,K50,IF(AND(C7&gt;$K$11,C7&lt;=$L$11),FORECAST(C7,K50:L50,$K$11:$L$11),IF(AND(C7&gt;$L$11,C7&lt;=$M$11),FORECAST(C7,L50:M50,$L$11:$M$11),IF(AND(C7&gt;$M$11,C7&lt;=$N$11),FORECAST(C7,M50:N50,$M$11:$N$11),IF(AND(C7&gt;$N$11,C7&lt;=$O$11),FORECAST(C7,N50:O50,$N$11:$O$11),IF(AND(C7&gt;$O$11,C7&lt;=$P$11),FORECAST(C7,O50:P50,$O$11:$P$11),0)))))))</f>
        <v>#REF!</v>
      </c>
      <c r="D50" s="390" t="e">
        <f>IF($C$3&lt;15,"Kh«ng cã",B7&amp;"/1.1*"&amp;ROUND(C50,3)&amp;"%")</f>
        <v>#REF!</v>
      </c>
      <c r="E50" s="391" t="e">
        <f>IF($C$3&lt;15,0,C7*10^9*ROUND(C50,3)/100)</f>
        <v>#REF!</v>
      </c>
      <c r="F50" s="392" t="s">
        <v>253</v>
      </c>
      <c r="G50" s="392"/>
      <c r="H50" s="393"/>
      <c r="I50" s="393"/>
      <c r="J50" s="393"/>
      <c r="K50" s="393"/>
      <c r="L50" s="393"/>
      <c r="M50" s="393"/>
      <c r="N50" s="393"/>
      <c r="O50" s="393"/>
      <c r="P50" s="393"/>
      <c r="Q50" s="394"/>
    </row>
    <row r="51" spans="1:17" s="395" customFormat="1" ht="15.75">
      <c r="A51" s="387" t="s">
        <v>1129</v>
      </c>
      <c r="B51" s="388" t="s">
        <v>1130</v>
      </c>
      <c r="C51" s="389" t="e">
        <f>IF($C$3&lt;15,"C«ng tr×nh lËp BC KTKT",IF(C8&lt;=15,K51,IF(AND(C8&gt;$K$11,C8&lt;=$L$11),FORECAST(C8,K51:L51,$K$11:$L$11),IF(AND(C8&gt;$L$11,C8&lt;=$M$11),FORECAST(C8,L51:M51,$L$11:$M$11),IF(AND(C8&gt;$M$11,C8&lt;=$N$11),FORECAST(C8,M51:N51,$M$11:$N$11),IF(AND(C8&gt;$N$11,C8&lt;=$O$11),FORECAST(C8,N51:O51,$N$11:$O$11),IF(AND(C8&gt;$O$11,C8&lt;=$P$11),FORECAST(C8,O51:P51,$O$11:$P$11),0)))))))</f>
        <v>#REF!</v>
      </c>
      <c r="D51" s="390" t="e">
        <f>IF($C$3&lt;15,"Kh«ng cã",B8&amp;"/1.1*"&amp;ROUND(C51,3)&amp;"%")</f>
        <v>#REF!</v>
      </c>
      <c r="E51" s="391" t="e">
        <f>IF($C$3&lt;15,0,C8*10^9*ROUND(C51,3)/100)</f>
        <v>#REF!</v>
      </c>
      <c r="F51" s="392" t="s">
        <v>253</v>
      </c>
      <c r="G51" s="392"/>
      <c r="H51" s="393"/>
      <c r="I51" s="393"/>
      <c r="J51" s="393"/>
      <c r="K51" s="393"/>
      <c r="L51" s="393"/>
      <c r="M51" s="393"/>
      <c r="N51" s="393"/>
      <c r="O51" s="393"/>
      <c r="P51" s="393"/>
      <c r="Q51" s="394"/>
    </row>
    <row r="52" spans="1:17" s="405" customFormat="1" ht="15.75">
      <c r="A52" s="396" t="s">
        <v>1131</v>
      </c>
      <c r="B52" s="397" t="s">
        <v>1132</v>
      </c>
      <c r="C52" s="398">
        <f>IF(C4&lt;=10,J52,IF(AND(C4&gt;$J$11,C4&lt;=$K$11),FORECAST(C4,J52:K52,$J$11:$K$11),IF(AND(C4&gt;$K$11,C4&lt;=$L$11),FORECAST(C4,K52:L52,$K$11:$L$11),IF(AND(C4&gt;$L$11,C4&lt;=$M$11),FORECAST(C4,L52:M52,$L$11:$M$11),IF(AND(C4&gt;$M$11,C4&lt;=$N$11),FORECAST(C4,M52:N52,$M$11:$N$11),IF(AND(C4&gt;$N$11,C4&lt;=$O$11),FORECAST(C4,N52:O52,$N$11:$O$11),IF(AND(C4&gt;$O$11,C4&lt;=$P$11),FORECAST(C4,O52:P52,$O$11:$P$11),0)))))))</f>
        <v>0.25800000000000001</v>
      </c>
      <c r="D52" s="399" t="str">
        <f>B4&amp;"/1.1*"&amp;ROUND(C52,3)&amp;"%"</f>
        <v>A/1.1*0,258%</v>
      </c>
      <c r="E52" s="400">
        <f>C4*10^9*ROUND(C52,3)/100</f>
        <v>0</v>
      </c>
      <c r="F52" s="401" t="s">
        <v>253</v>
      </c>
      <c r="G52" s="402">
        <v>0.25800000000000001</v>
      </c>
      <c r="H52" s="402">
        <v>0.25800000000000001</v>
      </c>
      <c r="I52" s="402">
        <v>0.25800000000000001</v>
      </c>
      <c r="J52" s="402">
        <v>0.25800000000000001</v>
      </c>
      <c r="K52" s="403">
        <f t="shared" ref="K52:K81" si="1">(J52+L52)/2</f>
        <v>0.24049999999999999</v>
      </c>
      <c r="L52" s="402">
        <v>0.223</v>
      </c>
      <c r="M52" s="402">
        <v>0.17199999999999999</v>
      </c>
      <c r="N52" s="402">
        <v>0.14299999999999999</v>
      </c>
      <c r="O52" s="402">
        <v>0.108</v>
      </c>
      <c r="P52" s="402">
        <v>8.3000000000000004E-2</v>
      </c>
      <c r="Q52" s="404">
        <v>6.8000000000000005E-2</v>
      </c>
    </row>
    <row r="53" spans="1:17" s="347" customFormat="1" ht="15.75">
      <c r="A53" s="339" t="s">
        <v>1133</v>
      </c>
      <c r="B53" s="340" t="s">
        <v>1134</v>
      </c>
      <c r="C53" s="406">
        <f>IF(C5&lt;=10,J53,IF(AND(C5&gt;$J$11,C5&lt;=$K$11),FORECAST(C5,J53:K53,$J$11:$K$11),IF(AND(C5&gt;$K$11,C5&lt;=$L$11),FORECAST(C5,K53:L53,$K$11:$L$11),IF(AND(C5&gt;$L$11,C5&lt;=$M$11),FORECAST(C5,L53:M53,$L$11:$M$11),IF(AND(C5&gt;$M$11,C5&lt;=$N$11),FORECAST(C5,M53:N53,$M$11:$N$11),IF(AND(C5&gt;$N$11,C5&lt;=$O$11),FORECAST(C5,N53:O53,$N$11:$O$11),IF(AND(C5&gt;$O$11,C5&lt;=$P$11),FORECAST(C5,O53:P53,$O$11:$P$11),0)))))))</f>
        <v>0.28999999999999998</v>
      </c>
      <c r="D53" s="342" t="str">
        <f>B5&amp;"/1.1*"&amp;ROUND(C53,3)&amp;"%"</f>
        <v>B/1.1*0,29%</v>
      </c>
      <c r="E53" s="407">
        <f>C5*10^9*ROUND(C53,3)/100</f>
        <v>0</v>
      </c>
      <c r="F53" s="344" t="s">
        <v>253</v>
      </c>
      <c r="G53" s="345">
        <v>0.28999999999999998</v>
      </c>
      <c r="H53" s="345">
        <v>0.28999999999999998</v>
      </c>
      <c r="I53" s="345">
        <v>0.28999999999999998</v>
      </c>
      <c r="J53" s="345">
        <v>0.28999999999999998</v>
      </c>
      <c r="K53" s="408">
        <f t="shared" si="1"/>
        <v>0.27100000000000002</v>
      </c>
      <c r="L53" s="345">
        <v>0.252</v>
      </c>
      <c r="M53" s="345">
        <v>0.192</v>
      </c>
      <c r="N53" s="345">
        <v>0.14599999999999999</v>
      </c>
      <c r="O53" s="345">
        <v>0.113</v>
      </c>
      <c r="P53" s="345">
        <v>8.6999999999999994E-2</v>
      </c>
      <c r="Q53" s="346">
        <v>6.6000000000000003E-2</v>
      </c>
    </row>
    <row r="54" spans="1:17" s="347" customFormat="1" ht="15.75">
      <c r="A54" s="339" t="s">
        <v>1135</v>
      </c>
      <c r="B54" s="340" t="s">
        <v>1136</v>
      </c>
      <c r="C54" s="406" t="e">
        <f>IF(C6&lt;=10,J54,IF(AND(C6&gt;$J$11,C6&lt;=$K$11),FORECAST(C6,J54:K54,$J$11:$K$11),IF(AND(C6&gt;$K$11,C6&lt;=$L$11),FORECAST(C6,K54:L54,$K$11:$L$11),IF(AND(C6&gt;$L$11,C6&lt;=$M$11),FORECAST(C6,L54:M54,$L$11:$M$11),IF(AND(C6&gt;$M$11,C6&lt;=$N$11),FORECAST(C6,M54:N54,$M$11:$N$11),IF(AND(C6&gt;$N$11,C6&lt;=$O$11),FORECAST(C6,N54:O54,$N$11:$O$11),IF(AND(C6&gt;$O$11,C6&lt;=$P$11),FORECAST(C6,O54:P54,$O$11:$P$11),0)))))))</f>
        <v>#REF!</v>
      </c>
      <c r="D54" s="342" t="e">
        <f>B6&amp;"/1.1*"&amp;ROUND(C54,3)&amp;"%"</f>
        <v>#REF!</v>
      </c>
      <c r="E54" s="407" t="e">
        <f>C6*10^9*ROUND(C54,3)/100</f>
        <v>#REF!</v>
      </c>
      <c r="F54" s="344" t="s">
        <v>253</v>
      </c>
      <c r="G54" s="986">
        <v>0.17</v>
      </c>
      <c r="H54" s="986">
        <v>0.17</v>
      </c>
      <c r="I54" s="986">
        <v>0.17</v>
      </c>
      <c r="J54" s="986">
        <v>0.17</v>
      </c>
      <c r="K54" s="999">
        <f t="shared" si="1"/>
        <v>0.1585</v>
      </c>
      <c r="L54" s="986">
        <v>0.14699999999999999</v>
      </c>
      <c r="M54" s="986">
        <v>0.113</v>
      </c>
      <c r="N54" s="986">
        <v>8.4000000000000005E-2</v>
      </c>
      <c r="O54" s="986">
        <v>7.2999999999999995E-2</v>
      </c>
      <c r="P54" s="986">
        <v>5.5E-2</v>
      </c>
      <c r="Q54" s="987">
        <v>4.2000000000000003E-2</v>
      </c>
    </row>
    <row r="55" spans="1:17" s="347" customFormat="1" ht="15.75">
      <c r="A55" s="339" t="s">
        <v>1137</v>
      </c>
      <c r="B55" s="340" t="s">
        <v>1138</v>
      </c>
      <c r="C55" s="406">
        <f>IF(C7&lt;=10,J55,IF(AND(C7&gt;$J$11,C7&lt;=$K$11),FORECAST(C7,J55:K55,$J$11:$K$11),IF(AND(C7&gt;$K$11,C7&lt;=$L$11),FORECAST(C7,K55:L55,$K$11:$L$11),IF(AND(C7&gt;$L$11,C7&lt;=$M$11),FORECAST(C7,L55:M55,$L$11:$M$11),IF(AND(C7&gt;$M$11,C7&lt;=$N$11),FORECAST(C7,M55:N55,$M$11:$N$11),IF(AND(C7&gt;$N$11,C7&lt;=$O$11),FORECAST(C7,N55:O55,$N$11:$O$11),IF(AND(C7&gt;$O$11,C7&lt;=$P$11),FORECAST(C7,O55:P55,$O$11:$P$11),0)))))))</f>
        <v>0.189</v>
      </c>
      <c r="D55" s="342" t="e">
        <f>B7&amp;"/1.1*"&amp;ROUND(C55,3)&amp;"%"</f>
        <v>#REF!</v>
      </c>
      <c r="E55" s="407">
        <f>C7*10^9*ROUND(C55,3)/100</f>
        <v>0</v>
      </c>
      <c r="F55" s="344" t="s">
        <v>253</v>
      </c>
      <c r="G55" s="345">
        <v>0.189</v>
      </c>
      <c r="H55" s="345">
        <v>0.189</v>
      </c>
      <c r="I55" s="345">
        <v>0.189</v>
      </c>
      <c r="J55" s="345">
        <v>0.189</v>
      </c>
      <c r="K55" s="408">
        <f t="shared" si="1"/>
        <v>0.17599999999999999</v>
      </c>
      <c r="L55" s="345">
        <v>0.16300000000000001</v>
      </c>
      <c r="M55" s="345">
        <v>0.125</v>
      </c>
      <c r="N55" s="345">
        <v>9.2999999999999999E-2</v>
      </c>
      <c r="O55" s="345">
        <v>7.2999999999999995E-2</v>
      </c>
      <c r="P55" s="345">
        <v>5.6000000000000001E-2</v>
      </c>
      <c r="Q55" s="346">
        <v>4.2999999999999997E-2</v>
      </c>
    </row>
    <row r="56" spans="1:17" s="347" customFormat="1" ht="15.75">
      <c r="A56" s="339" t="s">
        <v>1139</v>
      </c>
      <c r="B56" s="344" t="s">
        <v>1140</v>
      </c>
      <c r="C56" s="406">
        <f>IF(C8&lt;=10,J56,IF(AND(C8&gt;$J$11,C8&lt;=$K$11),FORECAST(C8,J56:K56,$J$11:$K$11),IF(AND(C8&gt;$K$11,C8&lt;=$L$11),FORECAST(C8,K56:L56,$K$11:$L$11),IF(AND(C8&gt;$L$11,C8&lt;=$M$11),FORECAST(C8,L56:M56,$L$11:$M$11),IF(AND(C8&gt;$M$11,C8&lt;=$N$11),FORECAST(C8,M56:N56,$M$11:$N$11),IF(AND(C8&gt;$N$11,C8&lt;=$O$11),FORECAST(C8,N56:O56,$N$11:$O$11),IF(AND(C8&gt;$O$11,C8&lt;=$P$11),FORECAST(C8,O56:P56,$O$11:$P$11),0)))))))</f>
        <v>0.19700000000000001</v>
      </c>
      <c r="D56" s="342" t="e">
        <f>B8&amp;"/1.1*"&amp;ROUND(C56,3)&amp;"%"</f>
        <v>#REF!</v>
      </c>
      <c r="E56" s="407">
        <f>C8*10^9*ROUND(C56,3)/100</f>
        <v>0</v>
      </c>
      <c r="F56" s="344" t="s">
        <v>253</v>
      </c>
      <c r="G56" s="345">
        <v>0.19700000000000001</v>
      </c>
      <c r="H56" s="345">
        <v>0.19700000000000001</v>
      </c>
      <c r="I56" s="345">
        <v>0.19700000000000001</v>
      </c>
      <c r="J56" s="345">
        <v>0.19700000000000001</v>
      </c>
      <c r="K56" s="408">
        <f t="shared" si="1"/>
        <v>0.1845</v>
      </c>
      <c r="L56" s="345">
        <v>0.17199999999999999</v>
      </c>
      <c r="M56" s="345">
        <v>0.13300000000000001</v>
      </c>
      <c r="N56" s="345">
        <v>9.9000000000000005E-2</v>
      </c>
      <c r="O56" s="345">
        <v>7.5999999999999998E-2</v>
      </c>
      <c r="P56" s="345">
        <v>5.8999999999999997E-2</v>
      </c>
      <c r="Q56" s="346">
        <v>4.5999999999999999E-2</v>
      </c>
    </row>
    <row r="57" spans="1:17" s="418" customFormat="1" ht="15.75">
      <c r="A57" s="409" t="s">
        <v>1141</v>
      </c>
      <c r="B57" s="410" t="s">
        <v>1142</v>
      </c>
      <c r="C57" s="411">
        <f>IF(C4&lt;=10,J57,IF(AND(C4&gt;$J$11,C4&lt;=$K$11),FORECAST(C4,J57:K57,$J$11:$K$11),IF(AND(C4&gt;$K$11,C4&lt;=$L$11),FORECAST(C4,K57:L57,$K$11:$L$11),IF(AND(C4&gt;$L$11,C4&lt;=$M$11),FORECAST(C4,L57:M57,$L$11:$M$11),IF(AND(C4&gt;$M$11,C4&lt;=$N$11),FORECAST(C4,M57:N57,$M$11:$N$11),IF(AND(C4&gt;$N$11,C4&lt;=$O$11),FORECAST(C4,N57:O57,$N$11:$O$11),IF(AND(C4&gt;$O$11,C4&lt;=$P$11),FORECAST(C4,O57:P57,$O$11:$P$11),0)))))))</f>
        <v>0.25</v>
      </c>
      <c r="D57" s="412" t="str">
        <f>B4&amp;"/1.1*"&amp;ROUND(C57,3)&amp;"%"</f>
        <v>A/1.1*0,25%</v>
      </c>
      <c r="E57" s="413">
        <f>C4*10^9*ROUND(C57,3)/100</f>
        <v>0</v>
      </c>
      <c r="F57" s="414" t="s">
        <v>253</v>
      </c>
      <c r="G57" s="415">
        <v>0.25</v>
      </c>
      <c r="H57" s="415">
        <v>0.25</v>
      </c>
      <c r="I57" s="415">
        <v>0.25</v>
      </c>
      <c r="J57" s="415">
        <v>0.25</v>
      </c>
      <c r="K57" s="416">
        <f t="shared" si="1"/>
        <v>0.23449999999999999</v>
      </c>
      <c r="L57" s="415">
        <v>0.219</v>
      </c>
      <c r="M57" s="415">
        <v>0.16600000000000001</v>
      </c>
      <c r="N57" s="415">
        <v>0.14000000000000001</v>
      </c>
      <c r="O57" s="415">
        <v>0.105</v>
      </c>
      <c r="P57" s="415">
        <v>7.6999999999999999E-2</v>
      </c>
      <c r="Q57" s="417">
        <v>6.4000000000000001E-2</v>
      </c>
    </row>
    <row r="58" spans="1:17" s="418" customFormat="1" ht="15.75">
      <c r="A58" s="409" t="s">
        <v>1143</v>
      </c>
      <c r="B58" s="410" t="s">
        <v>1144</v>
      </c>
      <c r="C58" s="411">
        <f>IF(C5&lt;=10,J58,IF(AND(C5&gt;$J$11,C5&lt;=$K$11),FORECAST(C5,J58:K58,$J$11:$K$11),IF(AND(C5&gt;$K$11,C5&lt;=$L$11),FORECAST(C5,K58:L58,$K$11:$L$11),IF(AND(C5&gt;$L$11,C5&lt;=$M$11),FORECAST(C5,L58:M58,$L$11:$M$11),IF(AND(C5&gt;$M$11,C5&lt;=$N$11),FORECAST(C5,M58:N58,$M$11:$N$11),IF(AND(C5&gt;$N$11,C5&lt;=$O$11),FORECAST(C5,N58:O58,$N$11:$O$11),IF(AND(C5&gt;$O$11,C5&lt;=$P$11),FORECAST(C5,O58:P58,$O$11:$P$11),0)))))))</f>
        <v>0.28199999999999997</v>
      </c>
      <c r="D58" s="412" t="str">
        <f>B5&amp;"/1.1*"&amp;ROUND(C58,3)&amp;"%"</f>
        <v>B/1.1*0,282%</v>
      </c>
      <c r="E58" s="413">
        <f>C5*10^9*ROUND(C58,3)/100</f>
        <v>0</v>
      </c>
      <c r="F58" s="414" t="s">
        <v>253</v>
      </c>
      <c r="G58" s="415">
        <v>0.28199999999999997</v>
      </c>
      <c r="H58" s="415">
        <v>0.28199999999999997</v>
      </c>
      <c r="I58" s="415">
        <v>0.28199999999999997</v>
      </c>
      <c r="J58" s="415">
        <v>0.28199999999999997</v>
      </c>
      <c r="K58" s="416">
        <f t="shared" si="1"/>
        <v>0.26300000000000001</v>
      </c>
      <c r="L58" s="415">
        <v>0.24399999999999999</v>
      </c>
      <c r="M58" s="415">
        <v>0.185</v>
      </c>
      <c r="N58" s="415">
        <v>0.14099999999999999</v>
      </c>
      <c r="O58" s="415">
        <v>0.108</v>
      </c>
      <c r="P58" s="415">
        <v>8.3000000000000004E-2</v>
      </c>
      <c r="Q58" s="417">
        <v>6.2E-2</v>
      </c>
    </row>
    <row r="59" spans="1:17" s="418" customFormat="1" ht="15.75">
      <c r="A59" s="409" t="s">
        <v>1145</v>
      </c>
      <c r="B59" s="410" t="s">
        <v>1146</v>
      </c>
      <c r="C59" s="411" t="e">
        <f>IF(C6&lt;=10,J59,IF(AND(C6&gt;$J$11,C6&lt;=$K$11),FORECAST(C6,J59:K59,$J$11:$K$11),IF(AND(C6&gt;$K$11,C6&lt;=$L$11),FORECAST(C6,K59:L59,$K$11:$L$11),IF(AND(C6&gt;$L$11,C6&lt;=$M$11),FORECAST(C6,L59:M59,$L$11:$M$11),IF(AND(C6&gt;$M$11,C6&lt;=$N$11),FORECAST(C6,M59:N59,$M$11:$N$11),IF(AND(C6&gt;$N$11,C6&lt;=$O$11),FORECAST(C6,N59:O59,$N$11:$O$11),IF(AND(C6&gt;$O$11,C6&lt;=$P$11),FORECAST(C6,O59:P59,$O$11:$P$11),0)))))))</f>
        <v>#REF!</v>
      </c>
      <c r="D59" s="412" t="e">
        <f>B6&amp;"/1.1*"&amp;ROUND(C59,3)&amp;"%"</f>
        <v>#REF!</v>
      </c>
      <c r="E59" s="413" t="e">
        <f>C6*10^9*ROUND(C59,3)/100</f>
        <v>#REF!</v>
      </c>
      <c r="F59" s="414" t="s">
        <v>253</v>
      </c>
      <c r="G59" s="1000">
        <v>0.16600000000000001</v>
      </c>
      <c r="H59" s="1000">
        <v>0.16600000000000001</v>
      </c>
      <c r="I59" s="1000">
        <v>0.16600000000000001</v>
      </c>
      <c r="J59" s="1000">
        <v>0.16600000000000001</v>
      </c>
      <c r="K59" s="1001">
        <f t="shared" si="1"/>
        <v>0.154</v>
      </c>
      <c r="L59" s="1000">
        <v>0.14199999999999999</v>
      </c>
      <c r="M59" s="1000">
        <v>0.106</v>
      </c>
      <c r="N59" s="1000">
        <v>8.2000000000000003E-2</v>
      </c>
      <c r="O59" s="1000">
        <v>6.9000000000000006E-2</v>
      </c>
      <c r="P59" s="1000">
        <v>5.1999999999999998E-2</v>
      </c>
      <c r="Q59" s="1002">
        <v>4.1000000000000002E-2</v>
      </c>
    </row>
    <row r="60" spans="1:17" s="418" customFormat="1" ht="15.75">
      <c r="A60" s="409" t="s">
        <v>1147</v>
      </c>
      <c r="B60" s="410" t="s">
        <v>1148</v>
      </c>
      <c r="C60" s="411">
        <f>IF(C7&lt;=10,J60,IF(AND(C7&gt;$J$11,C7&lt;=$K$11),FORECAST(C7,J60:K60,$J$11:$K$11),IF(AND(C7&gt;$K$11,C7&lt;=$L$11),FORECAST(C7,K60:L60,$K$11:$L$11),IF(AND(C7&gt;$L$11,C7&lt;=$M$11),FORECAST(C7,L60:M60,$L$11:$M$11),IF(AND(C7&gt;$M$11,C7&lt;=$N$11),FORECAST(C7,M60:N60,$M$11:$N$11),IF(AND(C7&gt;$N$11,C7&lt;=$O$11),FORECAST(C7,N60:O60,$N$11:$O$11),IF(AND(C7&gt;$O$11,C7&lt;=$P$11),FORECAST(C7,O60:P60,$O$11:$P$11),0)))))))</f>
        <v>0.183</v>
      </c>
      <c r="D60" s="412" t="e">
        <f>B7&amp;"/1.1*"&amp;ROUND(C60,3)&amp;"%"</f>
        <v>#REF!</v>
      </c>
      <c r="E60" s="413">
        <f>C7*10^9*ROUND(C60,3)/100</f>
        <v>0</v>
      </c>
      <c r="F60" s="414" t="s">
        <v>253</v>
      </c>
      <c r="G60" s="415">
        <v>0.183</v>
      </c>
      <c r="H60" s="415">
        <v>0.183</v>
      </c>
      <c r="I60" s="415">
        <v>0.183</v>
      </c>
      <c r="J60" s="415">
        <v>0.183</v>
      </c>
      <c r="K60" s="416">
        <f t="shared" si="1"/>
        <v>0.17049999999999998</v>
      </c>
      <c r="L60" s="415">
        <v>0.158</v>
      </c>
      <c r="M60" s="415">
        <v>0.11899999999999999</v>
      </c>
      <c r="N60" s="415">
        <v>9.1999999999999998E-2</v>
      </c>
      <c r="O60" s="415">
        <v>7.0000000000000007E-2</v>
      </c>
      <c r="P60" s="415">
        <v>5.2999999999999999E-2</v>
      </c>
      <c r="Q60" s="417">
        <v>0.04</v>
      </c>
    </row>
    <row r="61" spans="1:17" s="418" customFormat="1" ht="15.75">
      <c r="A61" s="409" t="s">
        <v>1149</v>
      </c>
      <c r="B61" s="414" t="s">
        <v>1150</v>
      </c>
      <c r="C61" s="411">
        <f>IF(C8&lt;=10,J61,IF(AND(C8&gt;$J$11,C8&lt;=$K$11),FORECAST(C8,J61:K61,$J$11:$K$11),IF(AND(C8&gt;$K$11,C8&lt;=$L$11),FORECAST(C8,K61:L61,$K$11:$L$11),IF(AND(C8&gt;$L$11,C8&lt;=$M$11),FORECAST(C8,L61:M61,$L$11:$M$11),IF(AND(C8&gt;$M$11,C8&lt;=$N$11),FORECAST(C8,M61:N61,$M$11:$N$11),IF(AND(C8&gt;$N$11,C8&lt;=$O$11),FORECAST(C8,N61:O61,$N$11:$O$11),IF(AND(C8&gt;$O$11,C8&lt;=$P$11),FORECAST(C8,O61:P61,$O$11:$P$11),0)))))))</f>
        <v>0.191</v>
      </c>
      <c r="D61" s="412" t="e">
        <f>B8&amp;"/1.1*"&amp;ROUND(C61,3)&amp;"%"</f>
        <v>#REF!</v>
      </c>
      <c r="E61" s="413">
        <f>C8*10^9*ROUND(C61,3)/100</f>
        <v>0</v>
      </c>
      <c r="F61" s="414" t="s">
        <v>253</v>
      </c>
      <c r="G61" s="415">
        <v>0.191</v>
      </c>
      <c r="H61" s="415">
        <v>0.191</v>
      </c>
      <c r="I61" s="415">
        <v>0.191</v>
      </c>
      <c r="J61" s="415">
        <v>0.191</v>
      </c>
      <c r="K61" s="416">
        <f t="shared" si="1"/>
        <v>0.17849999999999999</v>
      </c>
      <c r="L61" s="415">
        <v>0.16600000000000001</v>
      </c>
      <c r="M61" s="415">
        <v>0.128</v>
      </c>
      <c r="N61" s="415">
        <v>9.5000000000000001E-2</v>
      </c>
      <c r="O61" s="415">
        <v>7.1999999999999995E-2</v>
      </c>
      <c r="P61" s="415">
        <v>5.6000000000000001E-2</v>
      </c>
      <c r="Q61" s="417">
        <v>4.3999999999999997E-2</v>
      </c>
    </row>
    <row r="62" spans="1:17" s="347" customFormat="1" ht="15.75">
      <c r="A62" s="339" t="s">
        <v>1151</v>
      </c>
      <c r="B62" s="340" t="s">
        <v>1152</v>
      </c>
      <c r="C62" s="419">
        <f>IF(C4&lt;=10,J62,IF(AND(C4&gt;$J$11,C4&lt;=$K$11),FORECAST(C4,J62:K62,$J$11:$K$11),IF(AND(C4&gt;$K$11,C4&lt;=$L$11),FORECAST(C4,K62:L62,$K$11:$L$11),IF(AND(C4&gt;$L$11,C4&lt;=$M$11),FORECAST(C4,L62:M62,$L$11:$M$11),IF(AND(C4&gt;$M$11,C4&lt;=$N$11),FORECAST(C4,M62:N62,$M$11:$N$11),IF(AND(C4&gt;$N$11,C4&lt;=$O$11),FORECAST(C4,N62:O62,$N$11:$O$11),IF(AND(C4&gt;$O$11,C4&lt;=$P$11),FORECAST(C4,O62:P62,$O$11:$P$11),0)))))))</f>
        <v>3.2850000000000001</v>
      </c>
      <c r="D62" s="342" t="str">
        <f>B4&amp;"/1.1*"&amp;ROUND(C62,3)&amp;"%"</f>
        <v>A/1.1*3,285%</v>
      </c>
      <c r="E62" s="407">
        <f>C4*10^9*ROUND(C62,3)/100</f>
        <v>0</v>
      </c>
      <c r="F62" s="344" t="s">
        <v>254</v>
      </c>
      <c r="G62" s="345">
        <v>3.2850000000000001</v>
      </c>
      <c r="H62" s="345">
        <v>3.2850000000000001</v>
      </c>
      <c r="I62" s="345">
        <v>3.2850000000000001</v>
      </c>
      <c r="J62" s="345">
        <v>3.2850000000000001</v>
      </c>
      <c r="K62" s="345">
        <f t="shared" si="1"/>
        <v>3.069</v>
      </c>
      <c r="L62" s="345">
        <v>2.8530000000000002</v>
      </c>
      <c r="M62" s="345">
        <v>2.4350000000000001</v>
      </c>
      <c r="N62" s="345">
        <v>1.845</v>
      </c>
      <c r="O62" s="345">
        <v>1.546</v>
      </c>
      <c r="P62" s="345">
        <v>1.1879999999999999</v>
      </c>
      <c r="Q62" s="346">
        <v>0.79700000000000004</v>
      </c>
    </row>
    <row r="63" spans="1:17" s="347" customFormat="1" ht="15.75">
      <c r="A63" s="339" t="s">
        <v>1153</v>
      </c>
      <c r="B63" s="340" t="s">
        <v>1154</v>
      </c>
      <c r="C63" s="419">
        <f>IF(C5&lt;=10,J63,IF(AND(C5&gt;$J$11,C5&lt;=$K$11),FORECAST(C5,J63:K63,$J$11:$K$11),IF(AND(C5&gt;$K$11,C5&lt;=$L$11),FORECAST(C5,K63:L63,$K$11:$L$11),IF(AND(C5&gt;$L$11,C5&lt;=$M$11),FORECAST(C5,L63:M63,$L$11:$M$11),IF(AND(C5&gt;$M$11,C5&lt;=$N$11),FORECAST(C5,M63:N63,$M$11:$N$11),IF(AND(C5&gt;$N$11,C5&lt;=$O$11),FORECAST(C5,N63:O63,$N$11:$O$11),IF(AND(C5&gt;$O$11,C5&lt;=$P$11),FORECAST(C5,O63:P63,$O$11:$P$11),0)))))))</f>
        <v>3.508</v>
      </c>
      <c r="D63" s="342" t="str">
        <f>B5&amp;"/1.1*"&amp;ROUND(C63,3)&amp;"%"</f>
        <v>B/1.1*3,508%</v>
      </c>
      <c r="E63" s="407">
        <f>C5*10^9*ROUND(C63,3)/100</f>
        <v>0</v>
      </c>
      <c r="F63" s="344" t="s">
        <v>254</v>
      </c>
      <c r="G63" s="345">
        <v>3.508</v>
      </c>
      <c r="H63" s="345">
        <v>3.508</v>
      </c>
      <c r="I63" s="345">
        <v>3.508</v>
      </c>
      <c r="J63" s="345">
        <v>3.508</v>
      </c>
      <c r="K63" s="345">
        <f t="shared" si="1"/>
        <v>3.3224999999999998</v>
      </c>
      <c r="L63" s="345">
        <v>3.137</v>
      </c>
      <c r="M63" s="345">
        <v>2.5590000000000002</v>
      </c>
      <c r="N63" s="345">
        <v>2.0739999999999998</v>
      </c>
      <c r="O63" s="345">
        <v>1.6040000000000001</v>
      </c>
      <c r="P63" s="345">
        <v>1.3009999999999999</v>
      </c>
      <c r="Q63" s="346">
        <v>0.82299999999999995</v>
      </c>
    </row>
    <row r="64" spans="1:17" s="347" customFormat="1" ht="15.75">
      <c r="A64" s="339" t="s">
        <v>1155</v>
      </c>
      <c r="B64" s="340" t="s">
        <v>1275</v>
      </c>
      <c r="C64" s="419" t="e">
        <f>IF(C6&lt;=10,J64,IF(AND(C6&gt;$J$11,C6&lt;=$K$11),FORECAST(C6,J64:K64,$J$11:$K$11),IF(AND(C6&gt;$K$11,C6&lt;=$L$11),FORECAST(C6,K64:L64,$K$11:$L$11),IF(AND(C6&gt;$L$11,C6&lt;=$M$11),FORECAST(C6,L64:M64,$L$11:$M$11),IF(AND(C6&gt;$M$11,C6&lt;=$N$11),FORECAST(C6,M64:N64,$M$11:$N$11),IF(AND(C6&gt;$N$11,C6&lt;=$O$11),FORECAST(C6,N64:O64,$N$11:$O$11),IF(AND(C6&gt;$O$11,C6&lt;=$P$11),FORECAST(C6,O64:P64,$O$11:$P$11),0)))))))</f>
        <v>#REF!</v>
      </c>
      <c r="D64" s="342" t="e">
        <f>B6&amp;"/1.1*"&amp;ROUND(C64,3)&amp;"%"</f>
        <v>#REF!</v>
      </c>
      <c r="E64" s="407" t="e">
        <f>C6*10^9*ROUND(C64,3)/100</f>
        <v>#REF!</v>
      </c>
      <c r="F64" s="344" t="s">
        <v>254</v>
      </c>
      <c r="G64" s="986">
        <v>3.2029999999999998</v>
      </c>
      <c r="H64" s="986">
        <v>3.2029999999999998</v>
      </c>
      <c r="I64" s="986">
        <v>3.2029999999999998</v>
      </c>
      <c r="J64" s="986">
        <v>3.2029999999999998</v>
      </c>
      <c r="K64" s="986">
        <f t="shared" si="1"/>
        <v>2.9515000000000002</v>
      </c>
      <c r="L64" s="986">
        <v>2.7</v>
      </c>
      <c r="M64" s="986">
        <v>2.3559999999999999</v>
      </c>
      <c r="N64" s="986">
        <v>1.714</v>
      </c>
      <c r="O64" s="986">
        <v>1.272</v>
      </c>
      <c r="P64" s="986">
        <v>1.0029999999999999</v>
      </c>
      <c r="Q64" s="987">
        <v>0.73099999999999998</v>
      </c>
    </row>
    <row r="65" spans="1:17" s="347" customFormat="1" ht="15.75">
      <c r="A65" s="339" t="s">
        <v>1156</v>
      </c>
      <c r="B65" s="340" t="s">
        <v>1157</v>
      </c>
      <c r="C65" s="419">
        <f>IF(C7&lt;=10,J65,IF(AND(C7&gt;$J$11,C7&lt;=$K$11),FORECAST(C7,J65:K65,$J$11:$K$11),IF(AND(C7&gt;$K$11,C7&lt;=$L$11),FORECAST(C7,K65:L65,$K$11:$L$11),IF(AND(C7&gt;$L$11,C7&lt;=$M$11),FORECAST(C7,L65:M65,$L$11:$M$11),IF(AND(C7&gt;$M$11,C7&lt;=$N$11),FORECAST(C7,M65:N65,$M$11:$N$11),IF(AND(C7&gt;$N$11,C7&lt;=$O$11),FORECAST(C7,N65:O65,$N$11:$O$11),IF(AND(C7&gt;$O$11,C7&lt;=$P$11),FORECAST(C7,O65:P65,$O$11:$P$11),0)))))))</f>
        <v>2.5979999999999999</v>
      </c>
      <c r="D65" s="342" t="e">
        <f>B7&amp;"/1.1*"&amp;ROUND(C65,3)&amp;"%"</f>
        <v>#REF!</v>
      </c>
      <c r="E65" s="407">
        <f>C7*10^9*ROUND(C65,3)/100</f>
        <v>0</v>
      </c>
      <c r="F65" s="344" t="s">
        <v>254</v>
      </c>
      <c r="G65" s="345">
        <v>2.5979999999999999</v>
      </c>
      <c r="H65" s="345">
        <v>2.5979999999999999</v>
      </c>
      <c r="I65" s="345">
        <v>2.5979999999999999</v>
      </c>
      <c r="J65" s="345">
        <v>2.5979999999999999</v>
      </c>
      <c r="K65" s="345">
        <f t="shared" si="1"/>
        <v>2.4449999999999998</v>
      </c>
      <c r="L65" s="345">
        <v>2.2919999999999998</v>
      </c>
      <c r="M65" s="345">
        <v>2.0750000000000002</v>
      </c>
      <c r="N65" s="345">
        <v>1.5449999999999999</v>
      </c>
      <c r="O65" s="345">
        <v>1.1890000000000001</v>
      </c>
      <c r="P65" s="345">
        <v>0.95</v>
      </c>
      <c r="Q65" s="346">
        <v>0.63100000000000001</v>
      </c>
    </row>
    <row r="66" spans="1:17" s="347" customFormat="1" ht="15.75">
      <c r="A66" s="339" t="s">
        <v>1158</v>
      </c>
      <c r="B66" s="340" t="s">
        <v>1159</v>
      </c>
      <c r="C66" s="419">
        <f>IF(C8&lt;=10,J66,IF(AND(C8&gt;$J$11,C8&lt;=$K$11),FORECAST(C8,J66:K66,$J$11:$K$11),IF(AND(C8&gt;$K$11,C8&lt;=$L$11),FORECAST(C8,K66:L66,$K$11:$L$11),IF(AND(C8&gt;$L$11,C8&lt;=$M$11),FORECAST(C8,L66:M66,$L$11:$M$11),IF(AND(C8&gt;$M$11,C8&lt;=$N$11),FORECAST(C8,M66:N66,$M$11:$N$11),IF(AND(C8&gt;$N$11,C8&lt;=$O$11),FORECAST(C8,N66:O66,$N$11:$O$11),IF(AND(C8&gt;$O$11,C8&lt;=$P$11),FORECAST(C8,O66:P66,$O$11:$P$11),0)))))))</f>
        <v>2.5659999999999998</v>
      </c>
      <c r="D66" s="342" t="e">
        <f>B8&amp;"/1.1*"&amp;ROUND(C66,3)&amp;"%"</f>
        <v>#REF!</v>
      </c>
      <c r="E66" s="407">
        <f>C8*10^9*ROUND(C66,3)/100</f>
        <v>0</v>
      </c>
      <c r="F66" s="344" t="s">
        <v>254</v>
      </c>
      <c r="G66" s="345">
        <v>2.5659999999999998</v>
      </c>
      <c r="H66" s="345">
        <v>2.5659999999999998</v>
      </c>
      <c r="I66" s="345">
        <v>2.5659999999999998</v>
      </c>
      <c r="J66" s="345">
        <v>2.5659999999999998</v>
      </c>
      <c r="K66" s="345">
        <f t="shared" si="1"/>
        <v>2.4109999999999996</v>
      </c>
      <c r="L66" s="345">
        <v>2.2559999999999998</v>
      </c>
      <c r="M66" s="345">
        <v>1.984</v>
      </c>
      <c r="N66" s="345">
        <v>1.4610000000000001</v>
      </c>
      <c r="O66" s="345">
        <v>1.1419999999999999</v>
      </c>
      <c r="P66" s="345">
        <v>0.91200000000000003</v>
      </c>
      <c r="Q66" s="346">
        <v>0.58399999999999996</v>
      </c>
    </row>
    <row r="67" spans="1:17" s="357" customFormat="1" ht="15.75">
      <c r="A67" s="348" t="s">
        <v>1160</v>
      </c>
      <c r="B67" s="349" t="s">
        <v>1161</v>
      </c>
      <c r="C67" s="420">
        <f>IF(C4&lt;=10,J67,IF(AND(C4&gt;$J$11,C4&lt;=$K$11),FORECAST(C4,J67:K67,$J$11:$K$11),IF(AND(C4&gt;$K$11,C4&lt;=$L$11),FORECAST(C4,K67:L67,$K$11:$L$11),IF(AND(C4&gt;$L$11,C4&lt;=$M$11),FORECAST(C4,L67:M67,$L$11:$M$11),IF(AND(C4&gt;$M$11,C4&lt;=$N$11),FORECAST(C4,M67:N67,$M$11:$N$11),IF(AND(C4&gt;$N$11,C4&lt;=$O$11),FORECAST(C4,N67:O67,$N$11:$O$11),IF(AND(C4&gt;$O$11,C4&lt;=$P$11),FORECAST(C4,O67:P67,$O$11:$P$11),0)))))))</f>
        <v>0.84399999999999997</v>
      </c>
      <c r="D67" s="351" t="str">
        <f>B4&amp;"/1.1*"&amp;ROUND(C67,3)&amp;"%"</f>
        <v>A/1.1*0,844%</v>
      </c>
      <c r="E67" s="352">
        <f>C4*10^9*ROUND(C67,3)/100</f>
        <v>0</v>
      </c>
      <c r="F67" s="353" t="s">
        <v>254</v>
      </c>
      <c r="G67" s="355">
        <v>0.84399999999999997</v>
      </c>
      <c r="H67" s="355">
        <v>0.84399999999999997</v>
      </c>
      <c r="I67" s="355">
        <v>0.84399999999999997</v>
      </c>
      <c r="J67" s="355">
        <v>0.84399999999999997</v>
      </c>
      <c r="K67" s="355">
        <f t="shared" si="1"/>
        <v>0.77949999999999997</v>
      </c>
      <c r="L67" s="355">
        <v>0.71499999999999997</v>
      </c>
      <c r="M67" s="355">
        <v>0.59599999999999997</v>
      </c>
      <c r="N67" s="355">
        <v>0.39400000000000002</v>
      </c>
      <c r="O67" s="355">
        <v>0.30499999999999999</v>
      </c>
      <c r="P67" s="355">
        <v>0.26100000000000001</v>
      </c>
      <c r="Q67" s="356">
        <v>0.17599999999999999</v>
      </c>
    </row>
    <row r="68" spans="1:17" s="357" customFormat="1" ht="15.75">
      <c r="A68" s="348" t="s">
        <v>1162</v>
      </c>
      <c r="B68" s="349" t="s">
        <v>1163</v>
      </c>
      <c r="C68" s="420">
        <f>IF(C5&lt;=10,J68,IF(AND(C5&gt;$J$11,C5&lt;=$K$11),FORECAST(C5,J68:K68,$J$11:$K$11),IF(AND(C5&gt;$K$11,C5&lt;=$L$11),FORECAST(C5,K68:L68,$K$11:$L$11),IF(AND(C5&gt;$L$11,C5&lt;=$M$11),FORECAST(C5,L68:M68,$L$11:$M$11),IF(AND(C5&gt;$M$11,C5&lt;=$N$11),FORECAST(C5,M68:N68,$M$11:$N$11),IF(AND(C5&gt;$N$11,C5&lt;=$O$11),FORECAST(C5,N68:O68,$N$11:$O$11),IF(AND(C5&gt;$O$11,C5&lt;=$P$11),FORECAST(C5,O68:P68,$O$11:$P$11),0)))))))</f>
        <v>1.147</v>
      </c>
      <c r="D68" s="351" t="str">
        <f>B5&amp;"/1.1*"&amp;ROUND(C68,3)&amp;"%"</f>
        <v>B/1.1*1,147%</v>
      </c>
      <c r="E68" s="352">
        <f>C5*10^9*ROUND(C68,3)/100</f>
        <v>0</v>
      </c>
      <c r="F68" s="353" t="s">
        <v>254</v>
      </c>
      <c r="G68" s="355">
        <v>1.147</v>
      </c>
      <c r="H68" s="355">
        <v>1.147</v>
      </c>
      <c r="I68" s="355">
        <v>1.147</v>
      </c>
      <c r="J68" s="355">
        <v>1.147</v>
      </c>
      <c r="K68" s="355">
        <f t="shared" si="1"/>
        <v>1.0760000000000001</v>
      </c>
      <c r="L68" s="355">
        <v>1.0049999999999999</v>
      </c>
      <c r="M68" s="355">
        <v>0.95799999999999996</v>
      </c>
      <c r="N68" s="355">
        <v>0.81100000000000005</v>
      </c>
      <c r="O68" s="355">
        <v>0.49</v>
      </c>
      <c r="P68" s="355">
        <v>0.42199999999999999</v>
      </c>
      <c r="Q68" s="356">
        <v>0.35599999999999998</v>
      </c>
    </row>
    <row r="69" spans="1:17" s="357" customFormat="1" ht="15.75">
      <c r="A69" s="348" t="s">
        <v>1164</v>
      </c>
      <c r="B69" s="349" t="s">
        <v>1165</v>
      </c>
      <c r="C69" s="420" t="e">
        <f>IF(C6&lt;=10,J69,IF(AND(C6&gt;$J$11,C6&lt;=$K$11),FORECAST(C6,J69:K69,$J$11:$K$11),IF(AND(C6&gt;$K$11,C6&lt;=$L$11),FORECAST(C6,K69:L69,$K$11:$L$11),IF(AND(C6&gt;$L$11,C6&lt;=$M$11),FORECAST(C6,L69:M69,$L$11:$M$11),IF(AND(C6&gt;$M$11,C6&lt;=$N$11),FORECAST(C6,M69:N69,$M$11:$N$11),IF(AND(C6&gt;$N$11,C6&lt;=$O$11),FORECAST(C6,N69:O69,$N$11:$O$11),IF(AND(C6&gt;$O$11,C6&lt;=$P$11),FORECAST(C6,O69:P69,$O$11:$P$11),0)))))))</f>
        <v>#REF!</v>
      </c>
      <c r="D69" s="351" t="e">
        <f>B6&amp;"/1.1*"&amp;ROUND(C69,3)&amp;"%"</f>
        <v>#REF!</v>
      </c>
      <c r="E69" s="352" t="e">
        <f>C6*10^9*ROUND(C69,3)/100</f>
        <v>#REF!</v>
      </c>
      <c r="F69" s="353" t="s">
        <v>254</v>
      </c>
      <c r="G69" s="990">
        <v>0.67700000000000005</v>
      </c>
      <c r="H69" s="990">
        <v>0.67700000000000005</v>
      </c>
      <c r="I69" s="990">
        <v>0.67700000000000005</v>
      </c>
      <c r="J69" s="990">
        <v>0.67700000000000005</v>
      </c>
      <c r="K69" s="990">
        <f t="shared" si="1"/>
        <v>0.62850000000000006</v>
      </c>
      <c r="L69" s="990">
        <v>0.57999999999999996</v>
      </c>
      <c r="M69" s="990">
        <v>0.48599999999999999</v>
      </c>
      <c r="N69" s="990">
        <v>0.32</v>
      </c>
      <c r="O69" s="990">
        <v>0.26100000000000001</v>
      </c>
      <c r="P69" s="990">
        <v>0.217</v>
      </c>
      <c r="Q69" s="991">
        <v>0.14599999999999999</v>
      </c>
    </row>
    <row r="70" spans="1:17" s="357" customFormat="1" ht="15.75">
      <c r="A70" s="348" t="s">
        <v>1166</v>
      </c>
      <c r="B70" s="349" t="s">
        <v>1167</v>
      </c>
      <c r="C70" s="420">
        <f>IF(C7&lt;=10,J70,IF(AND(C7&gt;$J$11,C7&lt;=$K$11),FORECAST(C7,J70:K70,$J$11:$K$11),IF(AND(C7&gt;$K$11,C7&lt;=$L$11),FORECAST(C7,K70:L70,$K$11:$L$11),IF(AND(C7&gt;$L$11,C7&lt;=$M$11),FORECAST(C7,L70:M70,$L$11:$M$11),IF(AND(C7&gt;$M$11,C7&lt;=$N$11),FORECAST(C7,M70:N70,$M$11:$N$11),IF(AND(C7&gt;$N$11,C7&lt;=$O$11),FORECAST(C7,N70:O70,$N$11:$O$11),IF(AND(C7&gt;$O$11,C7&lt;=$P$11),FORECAST(C7,O70:P70,$O$11:$P$11),0)))))))</f>
        <v>0.71799999999999997</v>
      </c>
      <c r="D70" s="351" t="e">
        <f>B7&amp;"/1.1*"&amp;ROUND(C70,3)&amp;"%"</f>
        <v>#REF!</v>
      </c>
      <c r="E70" s="352">
        <f>C7*10^9*ROUND(C70,3)/100</f>
        <v>0</v>
      </c>
      <c r="F70" s="353" t="s">
        <v>254</v>
      </c>
      <c r="G70" s="355">
        <v>0.71799999999999997</v>
      </c>
      <c r="H70" s="355">
        <v>0.71799999999999997</v>
      </c>
      <c r="I70" s="355">
        <v>0.71799999999999997</v>
      </c>
      <c r="J70" s="355">
        <v>0.71799999999999997</v>
      </c>
      <c r="K70" s="355">
        <f t="shared" si="1"/>
        <v>0.65149999999999997</v>
      </c>
      <c r="L70" s="355">
        <v>0.58499999999999996</v>
      </c>
      <c r="M70" s="355">
        <v>0.52</v>
      </c>
      <c r="N70" s="355">
        <v>0.34399999999999997</v>
      </c>
      <c r="O70" s="355">
        <v>0.27600000000000002</v>
      </c>
      <c r="P70" s="355">
        <v>0.23200000000000001</v>
      </c>
      <c r="Q70" s="356">
        <v>0.159</v>
      </c>
    </row>
    <row r="71" spans="1:17" s="357" customFormat="1" ht="15.75">
      <c r="A71" s="348" t="s">
        <v>1168</v>
      </c>
      <c r="B71" s="349" t="s">
        <v>1169</v>
      </c>
      <c r="C71" s="420">
        <f>IF(C8&lt;=10,J71,IF(AND(C8&gt;$J$11,C8&lt;=$K$11),FORECAST(C8,J71:K71,$J$11:$K$11),IF(AND(C8&gt;$K$11,C8&lt;=$L$11),FORECAST(C8,K71:L71,$K$11:$L$11),IF(AND(C8&gt;$L$11,C8&lt;=$M$11),FORECAST(C8,L71:M71,$L$11:$M$11),IF(AND(C8&gt;$M$11,C8&lt;=$N$11),FORECAST(C8,M71:N71,$M$11:$N$11),IF(AND(C8&gt;$N$11,C8&lt;=$O$11),FORECAST(C8,N71:O71,$N$11:$O$11),IF(AND(C8&gt;$O$11,C8&lt;=$P$11),FORECAST(C8,O71:P71,$O$11:$P$11),0)))))))</f>
        <v>0.80300000000000005</v>
      </c>
      <c r="D71" s="351" t="e">
        <f>B8&amp;"/1.1*"&amp;ROUND(C71,3)&amp;"%"</f>
        <v>#REF!</v>
      </c>
      <c r="E71" s="352">
        <f>C8*10^9*ROUND(C71,3)/100</f>
        <v>0</v>
      </c>
      <c r="F71" s="353" t="s">
        <v>254</v>
      </c>
      <c r="G71" s="355">
        <v>0.80300000000000005</v>
      </c>
      <c r="H71" s="355">
        <v>0.80300000000000005</v>
      </c>
      <c r="I71" s="355">
        <v>0.80300000000000005</v>
      </c>
      <c r="J71" s="355">
        <v>0.80300000000000005</v>
      </c>
      <c r="K71" s="355">
        <f t="shared" si="1"/>
        <v>0.74649999999999994</v>
      </c>
      <c r="L71" s="355">
        <v>0.69</v>
      </c>
      <c r="M71" s="355">
        <v>0.57499999999999996</v>
      </c>
      <c r="N71" s="355">
        <v>0.38300000000000001</v>
      </c>
      <c r="O71" s="355">
        <v>0.3</v>
      </c>
      <c r="P71" s="355">
        <v>0.26100000000000001</v>
      </c>
      <c r="Q71" s="356">
        <v>0.17299999999999999</v>
      </c>
    </row>
    <row r="72" spans="1:17" s="325" customFormat="1" ht="15.75">
      <c r="A72" s="421" t="s">
        <v>1170</v>
      </c>
      <c r="B72" s="422" t="s">
        <v>1171</v>
      </c>
      <c r="C72" s="423">
        <f>IF(C4&lt;=10,J72,IF(AND(C4&gt;$J$11,C4&lt;=$K$11),FORECAST(C4,J72:K72,$J$11:$K$11),IF(AND(C4&gt;$K$11,C4&lt;=$L$11),FORECAST(C4,K72:L72,$K$11:$L$11),IF(AND(C4&gt;$L$11,C4&lt;=$M$11),FORECAST(C4,L72:M72,$L$11:$M$11),IF(AND(C4&gt;$M$11,C4&lt;=$N$11),FORECAST(C4,M72:N72,$M$11:$N$11),IF(AND(C4&gt;$N$11,C4&lt;=$O$11),FORECAST(C4,N72:O72,$N$11:$O$11),IF(AND(C4&gt;$O$11,C4&lt;=$P$11),FORECAST(C4,O72:P72,$O$11:$P$11),0)))))))</f>
        <v>0.432</v>
      </c>
      <c r="D72" s="319" t="str">
        <f>B4&amp;"/1.1*"&amp;ROUND(C72,3)&amp;"%"</f>
        <v>A/1.1*0,432%</v>
      </c>
      <c r="E72" s="320">
        <f>C4*10^9*ROUND(C72,3)/100</f>
        <v>0</v>
      </c>
      <c r="F72" s="321" t="s">
        <v>255</v>
      </c>
      <c r="G72" s="321"/>
      <c r="H72" s="327"/>
      <c r="I72" s="327"/>
      <c r="J72" s="327">
        <v>0.432</v>
      </c>
      <c r="K72" s="327">
        <f t="shared" si="1"/>
        <v>0.38900000000000001</v>
      </c>
      <c r="L72" s="327">
        <v>0.34599999999999997</v>
      </c>
      <c r="M72" s="327">
        <v>0.19500000000000001</v>
      </c>
      <c r="N72" s="327">
        <v>0.127</v>
      </c>
      <c r="O72" s="327">
        <v>7.8E-2</v>
      </c>
      <c r="P72" s="327">
        <v>5.7000000000000002E-2</v>
      </c>
      <c r="Q72" s="328">
        <v>0.04</v>
      </c>
    </row>
    <row r="73" spans="1:17" s="325" customFormat="1" ht="15.75">
      <c r="A73" s="421" t="s">
        <v>1172</v>
      </c>
      <c r="B73" s="422" t="s">
        <v>1173</v>
      </c>
      <c r="C73" s="423">
        <f>IF(C5&lt;=10,J73,IF(AND(C5&gt;$J$11,C5&lt;=$K$11),FORECAST(C5,J73:K73,$J$11:$K$11),IF(AND(C5&gt;$K$11,C5&lt;=$L$11),FORECAST(C5,K73:L73,$K$11:$L$11),IF(AND(C5&gt;$L$11,C5&lt;=$M$11),FORECAST(C5,L73:M73,$L$11:$M$11),IF(AND(C5&gt;$M$11,C5&lt;=$N$11),FORECAST(C5,M73:N73,$M$11:$N$11),IF(AND(C5&gt;$N$11,C5&lt;=$O$11),FORECAST(C5,N73:O73,$N$11:$O$11),IF(AND(C5&gt;$O$11,C5&lt;=$P$11),FORECAST(C5,O73:P73,$O$11:$P$11),0)))))))</f>
        <v>0.54900000000000004</v>
      </c>
      <c r="D73" s="319" t="str">
        <f>B5&amp;"/1.1*"&amp;ROUND(C73,3)&amp;"%"</f>
        <v>B/1.1*0,549%</v>
      </c>
      <c r="E73" s="320">
        <f>C5*10^9*ROUND(C73,3)/100</f>
        <v>0</v>
      </c>
      <c r="F73" s="321" t="s">
        <v>255</v>
      </c>
      <c r="G73" s="321"/>
      <c r="H73" s="327"/>
      <c r="I73" s="327"/>
      <c r="J73" s="327">
        <v>0.54900000000000004</v>
      </c>
      <c r="K73" s="327">
        <f t="shared" si="1"/>
        <v>0.46400000000000002</v>
      </c>
      <c r="L73" s="327">
        <v>0.379</v>
      </c>
      <c r="M73" s="327">
        <v>0.21099999999999999</v>
      </c>
      <c r="N73" s="327">
        <v>0.14399999999999999</v>
      </c>
      <c r="O73" s="327">
        <v>9.6000000000000002E-2</v>
      </c>
      <c r="P73" s="327">
        <v>6.7000000000000004E-2</v>
      </c>
      <c r="Q73" s="328">
        <v>5.1999999999999998E-2</v>
      </c>
    </row>
    <row r="74" spans="1:17" s="325" customFormat="1" ht="15.75">
      <c r="A74" s="421" t="s">
        <v>1174</v>
      </c>
      <c r="B74" s="422" t="s">
        <v>1915</v>
      </c>
      <c r="C74" s="423" t="e">
        <f>IF(C6&lt;=10,J74,IF(AND(C6&gt;$J$11,C6&lt;=$K$11),FORECAST(C6,J74:K74,$J$11:$K$11),IF(AND(C6&gt;$K$11,C6&lt;=$L$11),FORECAST(C6,K74:L74,$K$11:$L$11),IF(AND(C6&gt;$L$11,C6&lt;=$M$11),FORECAST(C6,L74:M74,$L$11:$M$11),IF(AND(C6&gt;$M$11,C6&lt;=$N$11),FORECAST(C6,M74:N74,$M$11:$N$11),IF(AND(C6&gt;$N$11,C6&lt;=$O$11),FORECAST(C6,N74:O74,$N$11:$O$11),IF(AND(C6&gt;$O$11,C6&lt;=$P$11),FORECAST(C6,O74:P74,$O$11:$P$11),0)))))))</f>
        <v>#REF!</v>
      </c>
      <c r="D74" s="319" t="e">
        <f>B6&amp;"/1.1*"&amp;ROUND(C74,3)&amp;"%"</f>
        <v>#REF!</v>
      </c>
      <c r="E74" s="320" t="e">
        <f>C6*10^9*ROUND(C74,3)/100</f>
        <v>#REF!</v>
      </c>
      <c r="F74" s="321" t="s">
        <v>255</v>
      </c>
      <c r="G74" s="978"/>
      <c r="H74" s="979"/>
      <c r="I74" s="979"/>
      <c r="J74" s="979">
        <v>0.34599999999999997</v>
      </c>
      <c r="K74" s="979">
        <f t="shared" si="1"/>
        <v>0.29149999999999998</v>
      </c>
      <c r="L74" s="979">
        <v>0.23699999999999999</v>
      </c>
      <c r="M74" s="979">
        <v>0.151</v>
      </c>
      <c r="N74" s="979">
        <v>0.09</v>
      </c>
      <c r="O74" s="979">
        <v>5.7000000000000002E-2</v>
      </c>
      <c r="P74" s="979">
        <v>4.2999999999999997E-2</v>
      </c>
      <c r="Q74" s="981">
        <v>2.9000000000000001E-2</v>
      </c>
    </row>
    <row r="75" spans="1:17" s="325" customFormat="1" ht="15.75">
      <c r="A75" s="421" t="s">
        <v>1175</v>
      </c>
      <c r="B75" s="321" t="s">
        <v>1176</v>
      </c>
      <c r="C75" s="423">
        <f>IF(C7&lt;=10,J75,IF(AND(C7&gt;$J$11,C7&lt;=$K$11),FORECAST(C7,J75:K75,$J$11:$K$11),IF(AND(C7&gt;$K$11,C7&lt;=$L$11),FORECAST(C7,K75:L75,$K$11:$L$11),IF(AND(C7&gt;$L$11,C7&lt;=$M$11),FORECAST(C7,L75:M75,$L$11:$M$11),IF(AND(C7&gt;$M$11,C7&lt;=$N$11),FORECAST(C7,M75:N75,$M$11:$N$11),IF(AND(C7&gt;$N$11,C7&lt;=$O$11),FORECAST(C7,N75:O75,$N$11:$O$11),IF(AND(C7&gt;$O$11,C7&lt;=$P$11),FORECAST(C7,O75:P75,$O$11:$P$11),0)))))))</f>
        <v>0.36099999999999999</v>
      </c>
      <c r="D75" s="319" t="e">
        <f>B7&amp;"/1.1*"&amp;ROUND(C75,3)&amp;"%"</f>
        <v>#REF!</v>
      </c>
      <c r="E75" s="320">
        <f>C7*10^9*ROUND(C75,3)/100</f>
        <v>0</v>
      </c>
      <c r="F75" s="321" t="s">
        <v>255</v>
      </c>
      <c r="G75" s="321"/>
      <c r="H75" s="327"/>
      <c r="I75" s="327"/>
      <c r="J75" s="327">
        <v>0.36099999999999999</v>
      </c>
      <c r="K75" s="327">
        <f t="shared" si="1"/>
        <v>0.33150000000000002</v>
      </c>
      <c r="L75" s="327">
        <v>0.30199999999999999</v>
      </c>
      <c r="M75" s="327">
        <v>0.16600000000000001</v>
      </c>
      <c r="N75" s="327">
        <v>9.4E-2</v>
      </c>
      <c r="O75" s="327">
        <v>6.6000000000000003E-2</v>
      </c>
      <c r="P75" s="327">
        <v>4.5999999999999999E-2</v>
      </c>
      <c r="Q75" s="328">
        <v>3.1E-2</v>
      </c>
    </row>
    <row r="76" spans="1:17" s="325" customFormat="1" ht="15.75">
      <c r="A76" s="421" t="s">
        <v>1177</v>
      </c>
      <c r="B76" s="321" t="s">
        <v>1178</v>
      </c>
      <c r="C76" s="423">
        <f>IF(C8&lt;=10,J76,IF(AND(C8&gt;$J$11,C8&lt;=$K$11),FORECAST(C8,J76:K76,$J$11:$K$11),IF(AND(C8&gt;$K$11,C8&lt;=$L$11),FORECAST(C8,K76:L76,$K$11:$L$11),IF(AND(C8&gt;$L$11,C8&lt;=$M$11),FORECAST(C8,L76:M76,$L$11:$M$11),IF(AND(C8&gt;$M$11,C8&lt;=$N$11),FORECAST(C8,M76:N76,$M$11:$N$11),IF(AND(C8&gt;$N$11,C8&lt;=$O$11),FORECAST(C8,N76:O76,$N$11:$O$11),IF(AND(C8&gt;$O$11,C8&lt;=$P$11),FORECAST(C8,O76:P76,$O$11:$P$11),0)))))))</f>
        <v>0.38800000000000001</v>
      </c>
      <c r="D76" s="319" t="e">
        <f>B8&amp;"/1.1*"&amp;ROUND(C76,3)&amp;"%"</f>
        <v>#REF!</v>
      </c>
      <c r="E76" s="320">
        <f>C8*10^9*ROUND(C76,3)/100</f>
        <v>0</v>
      </c>
      <c r="F76" s="321" t="s">
        <v>255</v>
      </c>
      <c r="G76" s="321"/>
      <c r="H76" s="327"/>
      <c r="I76" s="327"/>
      <c r="J76" s="327">
        <v>0.38800000000000001</v>
      </c>
      <c r="K76" s="327">
        <f t="shared" si="1"/>
        <v>0.35650000000000004</v>
      </c>
      <c r="L76" s="327">
        <v>0.32500000000000001</v>
      </c>
      <c r="M76" s="327">
        <v>0.17199999999999999</v>
      </c>
      <c r="N76" s="327">
        <v>0.106</v>
      </c>
      <c r="O76" s="327">
        <v>6.9000000000000006E-2</v>
      </c>
      <c r="P76" s="327">
        <v>5.1999999999999998E-2</v>
      </c>
      <c r="Q76" s="328">
        <v>3.7999999999999999E-2</v>
      </c>
    </row>
    <row r="77" spans="1:17" s="377" customFormat="1" ht="15.75">
      <c r="A77" s="369" t="s">
        <v>1179</v>
      </c>
      <c r="B77" s="370" t="s">
        <v>1180</v>
      </c>
      <c r="C77" s="424">
        <f>IF(C4&lt;=10,J77,IF(AND(C4&gt;$J$11,C4&lt;=$K$11),FORECAST(C4,J77:K77,$J$11:$K$11),IF(AND(C4&gt;$K$11,C4&lt;=$L$11),FORECAST(C4,K77:L77,$K$11:$L$11),IF(AND(C4&gt;$L$11,C4&lt;=$M$11),FORECAST(C4,L77:M77,$L$11:$M$11),IF(AND(C4&gt;$M$11,C4&lt;=$N$11),FORECAST(C4,M77:N77,$M$11:$N$11),IF(AND(C4&gt;$N$11,C4&lt;=$O$11),FORECAST(C4,N77:O77,$N$11:$O$11),IF(AND(C4&gt;$O$11,C4&lt;=$P$11),FORECAST(C4,O77:P77,$O$11:$P$11),0)))))))</f>
        <v>0.36699999999999999</v>
      </c>
      <c r="D77" s="372" t="str">
        <f>B4&amp;"/1.1*"&amp;ROUND(C77,3)&amp;"%"</f>
        <v>A/1.1*0,367%</v>
      </c>
      <c r="E77" s="373">
        <f>C4*10^9*ROUND(C77,3)/100</f>
        <v>0</v>
      </c>
      <c r="F77" s="374" t="s">
        <v>255</v>
      </c>
      <c r="G77" s="374"/>
      <c r="H77" s="375"/>
      <c r="I77" s="375"/>
      <c r="J77" s="375">
        <v>0.36699999999999999</v>
      </c>
      <c r="K77" s="375">
        <f t="shared" si="1"/>
        <v>0.35649999999999998</v>
      </c>
      <c r="L77" s="375">
        <v>0.34599999999999997</v>
      </c>
      <c r="M77" s="375">
        <v>0.18099999999999999</v>
      </c>
      <c r="N77" s="375">
        <v>0.113</v>
      </c>
      <c r="O77" s="375">
        <v>0.10199999999999999</v>
      </c>
      <c r="P77" s="375">
        <v>8.1000000000000003E-2</v>
      </c>
      <c r="Q77" s="376">
        <v>5.5E-2</v>
      </c>
    </row>
    <row r="78" spans="1:17" s="377" customFormat="1" ht="15.75">
      <c r="A78" s="369" t="s">
        <v>1181</v>
      </c>
      <c r="B78" s="370" t="s">
        <v>1182</v>
      </c>
      <c r="C78" s="424">
        <f>IF(C5&lt;=10,J78,IF(AND(C5&gt;$J$11,C5&lt;=$K$11),FORECAST(C5,J78:K78,$J$11:$K$11),IF(AND(C5&gt;$K$11,C5&lt;=$L$11),FORECAST(C5,K78:L78,$K$11:$L$11),IF(AND(C5&gt;$L$11,C5&lt;=$M$11),FORECAST(C5,L78:M78,$L$11:$M$11),IF(AND(C5&gt;$M$11,C5&lt;=$N$11),FORECAST(C5,M78:N78,$M$11:$N$11),IF(AND(C5&gt;$N$11,C5&lt;=$O$11),FORECAST(C5,N78:O78,$N$11:$O$11),IF(AND(C5&gt;$O$11,C5&lt;=$P$11),FORECAST(C5,O78:P78,$O$11:$P$11),0)))))))</f>
        <v>0.54900000000000004</v>
      </c>
      <c r="D78" s="372" t="str">
        <f>B5&amp;"/1.1*"&amp;ROUND(C78,3)&amp;"%"</f>
        <v>B/1.1*0,549%</v>
      </c>
      <c r="E78" s="373">
        <f>C5*10^9*ROUND(C78,3)/100</f>
        <v>0</v>
      </c>
      <c r="F78" s="374" t="s">
        <v>255</v>
      </c>
      <c r="G78" s="374"/>
      <c r="H78" s="375"/>
      <c r="I78" s="375"/>
      <c r="J78" s="375">
        <v>0.54900000000000004</v>
      </c>
      <c r="K78" s="375">
        <f t="shared" si="1"/>
        <v>0.52150000000000007</v>
      </c>
      <c r="L78" s="375">
        <v>0.49399999999999999</v>
      </c>
      <c r="M78" s="375">
        <v>0.28000000000000003</v>
      </c>
      <c r="N78" s="375">
        <v>0.17699999999999999</v>
      </c>
      <c r="O78" s="375">
        <v>0.152</v>
      </c>
      <c r="P78" s="375">
        <v>0.123</v>
      </c>
      <c r="Q78" s="376">
        <v>8.4000000000000005E-2</v>
      </c>
    </row>
    <row r="79" spans="1:17" s="377" customFormat="1" ht="15.75">
      <c r="A79" s="369" t="s">
        <v>1183</v>
      </c>
      <c r="B79" s="370" t="s">
        <v>1184</v>
      </c>
      <c r="C79" s="424" t="e">
        <f>IF(C6&lt;=10,J79,IF(AND(C6&gt;$J$11,C6&lt;=$K$11),FORECAST(C6,J79:K79,$J$11:$K$11),IF(AND(C6&gt;$K$11,C6&lt;=$L$11),FORECAST(C6,K79:L79,$K$11:$L$11),IF(AND(C6&gt;$L$11,C6&lt;=$M$11),FORECAST(C6,L79:M79,$L$11:$M$11),IF(AND(C6&gt;$M$11,C6&lt;=$N$11),FORECAST(C6,M79:N79,$M$11:$N$11),IF(AND(C6&gt;$N$11,C6&lt;=$O$11),FORECAST(C6,N79:O79,$N$11:$O$11),IF(AND(C6&gt;$O$11,C6&lt;=$P$11),FORECAST(C6,O79:P79,$O$11:$P$11),0)))))))</f>
        <v>#REF!</v>
      </c>
      <c r="D79" s="372" t="e">
        <f>B6&amp;"/1.1*"&amp;ROUND(C79,3)&amp;"%"</f>
        <v>#REF!</v>
      </c>
      <c r="E79" s="373" t="e">
        <f>C6*10^9*ROUND(C79,3)/100</f>
        <v>#REF!</v>
      </c>
      <c r="F79" s="374" t="s">
        <v>255</v>
      </c>
      <c r="G79" s="996"/>
      <c r="H79" s="997"/>
      <c r="I79" s="997"/>
      <c r="J79" s="997">
        <v>0.26100000000000001</v>
      </c>
      <c r="K79" s="997">
        <f t="shared" si="1"/>
        <v>0.2455</v>
      </c>
      <c r="L79" s="997">
        <v>0.23</v>
      </c>
      <c r="M79" s="997">
        <v>0.13100000000000001</v>
      </c>
      <c r="N79" s="997">
        <v>8.4000000000000005E-2</v>
      </c>
      <c r="O79" s="997">
        <v>7.3999999999999996E-2</v>
      </c>
      <c r="P79" s="997">
        <v>5.6000000000000001E-2</v>
      </c>
      <c r="Q79" s="998">
        <v>0.04</v>
      </c>
    </row>
    <row r="80" spans="1:17" s="377" customFormat="1" ht="15.75">
      <c r="A80" s="369" t="s">
        <v>1185</v>
      </c>
      <c r="B80" s="370" t="s">
        <v>1186</v>
      </c>
      <c r="C80" s="424">
        <f>IF(C7&lt;=10,J80,IF(AND(C7&gt;$J$11,C7&lt;=$K$11),FORECAST(C7,J80:K80,$J$11:$K$11),IF(AND(C7&gt;$K$11,C7&lt;=$L$11),FORECAST(C7,K80:L80,$K$11:$L$11),IF(AND(C7&gt;$L$11,C7&lt;=$M$11),FORECAST(C7,L80:M80,$L$11:$M$11),IF(AND(C7&gt;$M$11,C7&lt;=$N$11),FORECAST(C7,M80:N80,$M$11:$N$11),IF(AND(C7&gt;$N$11,C7&lt;=$O$11),FORECAST(C7,N80:O80,$N$11:$O$11),IF(AND(C7&gt;$O$11,C7&lt;=$P$11),FORECAST(C7,O80:P80,$O$11:$P$11),0)))))))</f>
        <v>0.28100000000000003</v>
      </c>
      <c r="D80" s="372" t="e">
        <f>B7&amp;"/1.1*"&amp;ROUND(C80,3)&amp;"%"</f>
        <v>#REF!</v>
      </c>
      <c r="E80" s="373">
        <f>C7*10^9*ROUND(C80,3)/100</f>
        <v>0</v>
      </c>
      <c r="F80" s="374" t="s">
        <v>255</v>
      </c>
      <c r="G80" s="374"/>
      <c r="H80" s="375"/>
      <c r="I80" s="375"/>
      <c r="J80" s="375">
        <v>0.28100000000000003</v>
      </c>
      <c r="K80" s="375">
        <f t="shared" si="1"/>
        <v>0.26300000000000001</v>
      </c>
      <c r="L80" s="375">
        <v>0.245</v>
      </c>
      <c r="M80" s="375">
        <v>0.14000000000000001</v>
      </c>
      <c r="N80" s="375">
        <v>0.09</v>
      </c>
      <c r="O80" s="375">
        <v>7.8E-2</v>
      </c>
      <c r="P80" s="375">
        <v>6.0999999999999999E-2</v>
      </c>
      <c r="Q80" s="376">
        <v>0.05</v>
      </c>
    </row>
    <row r="81" spans="1:20" s="377" customFormat="1" ht="15.75">
      <c r="A81" s="369" t="s">
        <v>1187</v>
      </c>
      <c r="B81" s="370" t="s">
        <v>1188</v>
      </c>
      <c r="C81" s="424">
        <f>IF(C8&lt;=10,J81,IF(AND(C8&gt;$J$11,C8&lt;=$K$11),FORECAST(C8,J81:K81,$J$11:$K$11),IF(AND(C8&gt;$K$11,C8&lt;=$L$11),FORECAST(C8,K81:L81,$K$11:$L$11),IF(AND(C8&gt;$L$11,C8&lt;=$M$11),FORECAST(C8,L81:M81,$L$11:$M$11),IF(AND(C8&gt;$M$11,C8&lt;=$N$11),FORECAST(C8,M81:N81,$M$11:$N$11),IF(AND(C8&gt;$N$11,C8&lt;=$O$11),FORECAST(C8,N81:O81,$N$11:$O$11),IF(AND(C8&gt;$O$11,C8&lt;=$P$11),FORECAST(C8,O81:P81,$O$11:$P$11),0)))))))</f>
        <v>0.30199999999999999</v>
      </c>
      <c r="D81" s="372" t="e">
        <f>B8&amp;"/1.1*"&amp;ROUND(C81,3)&amp;"%"</f>
        <v>#REF!</v>
      </c>
      <c r="E81" s="373">
        <f>C8*10^9*ROUND(C81,3)/100</f>
        <v>0</v>
      </c>
      <c r="F81" s="374" t="s">
        <v>255</v>
      </c>
      <c r="G81" s="374"/>
      <c r="H81" s="375"/>
      <c r="I81" s="375"/>
      <c r="J81" s="375">
        <v>0.30199999999999999</v>
      </c>
      <c r="K81" s="375">
        <f t="shared" si="1"/>
        <v>0.28100000000000003</v>
      </c>
      <c r="L81" s="375">
        <v>0.26</v>
      </c>
      <c r="M81" s="375">
        <v>0.156</v>
      </c>
      <c r="N81" s="375">
        <v>0.10199999999999999</v>
      </c>
      <c r="O81" s="375">
        <v>8.6999999999999994E-2</v>
      </c>
      <c r="P81" s="375">
        <v>6.9000000000000006E-2</v>
      </c>
      <c r="Q81" s="376">
        <v>5.3999999999999999E-2</v>
      </c>
    </row>
    <row r="82" spans="1:20" ht="15.75">
      <c r="A82" s="425" t="s">
        <v>1189</v>
      </c>
      <c r="B82" s="426" t="s">
        <v>1773</v>
      </c>
      <c r="C82" s="427"/>
      <c r="D82" s="428" t="s">
        <v>276</v>
      </c>
      <c r="E82" s="429" t="e">
        <f>Khaosat!G46/1.1</f>
        <v>#REF!</v>
      </c>
      <c r="F82" s="430" t="s">
        <v>252</v>
      </c>
      <c r="G82" s="430"/>
      <c r="H82" s="431"/>
      <c r="I82" s="431"/>
      <c r="J82" s="431"/>
      <c r="K82" s="431"/>
      <c r="L82" s="431"/>
      <c r="M82" s="431"/>
      <c r="N82" s="431"/>
      <c r="O82" s="431"/>
      <c r="P82" s="431"/>
      <c r="Q82" s="432"/>
    </row>
    <row r="83" spans="1:20" ht="16.5" thickBot="1">
      <c r="A83" s="433" t="s">
        <v>1190</v>
      </c>
      <c r="B83" s="434" t="s">
        <v>256</v>
      </c>
      <c r="C83" s="435">
        <v>1</v>
      </c>
      <c r="D83" s="436" t="str">
        <f>$B$3&amp;"/1.1*"&amp;ROUND(C83,3)&amp;"% (t¹m tÝnh)"</f>
        <v>XL/1.1*1% (t¹m tÝnh)</v>
      </c>
      <c r="E83" s="437" t="e">
        <f>C3*10^9/1.1*ROUND(C83,3)/100</f>
        <v>#REF!</v>
      </c>
      <c r="F83" s="438" t="s">
        <v>257</v>
      </c>
      <c r="G83" s="438"/>
      <c r="H83" s="439"/>
      <c r="I83" s="439"/>
      <c r="J83" s="439"/>
      <c r="K83" s="439"/>
      <c r="L83" s="439"/>
      <c r="M83" s="439"/>
      <c r="N83" s="439"/>
      <c r="O83" s="439"/>
      <c r="P83" s="439"/>
      <c r="Q83" s="440"/>
    </row>
    <row r="84" spans="1:20" ht="15.75">
      <c r="A84" s="441"/>
      <c r="B84" s="442"/>
      <c r="C84" s="443"/>
      <c r="D84" s="444"/>
      <c r="E84" s="445"/>
      <c r="H84" s="301"/>
      <c r="I84" s="301"/>
      <c r="J84" s="301"/>
      <c r="K84" s="301"/>
      <c r="L84" s="301"/>
      <c r="M84" s="301"/>
      <c r="N84" s="301"/>
      <c r="O84" s="301"/>
      <c r="P84" s="301"/>
      <c r="Q84" s="301"/>
    </row>
    <row r="85" spans="1:20" ht="16.5" thickBot="1">
      <c r="A85" s="312" t="s">
        <v>1191</v>
      </c>
      <c r="B85" s="442"/>
      <c r="C85" s="443"/>
      <c r="D85" s="444"/>
      <c r="E85" s="445"/>
      <c r="H85" s="301"/>
      <c r="I85" s="301"/>
      <c r="J85" s="301"/>
      <c r="K85" s="301"/>
      <c r="L85" s="301"/>
      <c r="M85" s="301"/>
      <c r="N85" s="301"/>
      <c r="O85" s="301"/>
      <c r="P85" s="301"/>
      <c r="Q85" s="301"/>
    </row>
    <row r="86" spans="1:20" ht="15.75">
      <c r="A86" s="1161" t="s">
        <v>245</v>
      </c>
      <c r="B86" s="1163" t="s">
        <v>246</v>
      </c>
      <c r="C86" s="1165" t="s">
        <v>247</v>
      </c>
      <c r="D86" s="1167" t="s">
        <v>248</v>
      </c>
      <c r="E86" s="1163" t="s">
        <v>249</v>
      </c>
      <c r="F86" s="1169" t="s">
        <v>250</v>
      </c>
      <c r="G86" s="446"/>
      <c r="H86" s="1171" t="s">
        <v>1192</v>
      </c>
      <c r="I86" s="1171"/>
      <c r="J86" s="1171"/>
      <c r="K86" s="1171"/>
      <c r="L86" s="1171"/>
      <c r="M86" s="1171"/>
      <c r="N86" s="1171"/>
      <c r="O86" s="1171"/>
      <c r="P86" s="1171"/>
      <c r="Q86" s="1172"/>
    </row>
    <row r="87" spans="1:20" s="451" customFormat="1" ht="16.5" customHeight="1">
      <c r="A87" s="1162"/>
      <c r="B87" s="1164"/>
      <c r="C87" s="1166"/>
      <c r="D87" s="1168"/>
      <c r="E87" s="1164"/>
      <c r="F87" s="1170"/>
      <c r="G87" s="447"/>
      <c r="H87" s="448"/>
      <c r="I87" s="448"/>
      <c r="J87" s="449">
        <v>0</v>
      </c>
      <c r="K87" s="449">
        <v>1</v>
      </c>
      <c r="L87" s="449">
        <v>3</v>
      </c>
      <c r="M87" s="449">
        <v>5</v>
      </c>
      <c r="N87" s="449">
        <v>10</v>
      </c>
      <c r="O87" s="449">
        <v>20</v>
      </c>
      <c r="P87" s="449">
        <v>50</v>
      </c>
      <c r="Q87" s="450">
        <v>100</v>
      </c>
      <c r="S87" s="451">
        <v>1</v>
      </c>
      <c r="T87" s="451">
        <v>5</v>
      </c>
    </row>
    <row r="88" spans="1:20" s="457" customFormat="1" ht="16.5" customHeight="1">
      <c r="A88" s="452"/>
      <c r="B88" s="453"/>
      <c r="C88" s="454">
        <v>1</v>
      </c>
      <c r="D88" s="453"/>
      <c r="E88" s="453"/>
      <c r="F88" s="453"/>
      <c r="G88" s="453"/>
      <c r="H88" s="453"/>
      <c r="I88" s="453"/>
      <c r="J88" s="455"/>
      <c r="K88" s="455"/>
      <c r="L88" s="455"/>
      <c r="M88" s="455"/>
      <c r="N88" s="455"/>
      <c r="O88" s="455"/>
      <c r="P88" s="455"/>
      <c r="Q88" s="456"/>
    </row>
    <row r="89" spans="1:20" s="457" customFormat="1" ht="15.75">
      <c r="A89" s="458" t="s">
        <v>1193</v>
      </c>
      <c r="B89" s="459" t="s">
        <v>1194</v>
      </c>
      <c r="C89" s="460">
        <f>IF($C$88&lt;=1,J89,IF(AND($C$88&gt;$K$87,$C$88&lt;=$L$87),FORECAST($C$88,K89:L89,$K$87:$L$87),IF(AND($C$88&gt;$L$87,$C$88&lt;=$M$87),FORECAST($C$88,L89:M89,$L$87:$M$87),IF(AND($C$88&gt;$M$87,$C$3&lt;=$N$87),FORECAST($C$88,M89:N89,$M$87:$N$87),IF(AND($C$88&gt;$N$87,$C$3&lt;=$O$87),FORECAST($C$88,N89:O89,$N$87:$O$87),IF(AND($C$88&gt;$O$87,$C$88&lt;=$P$87),FORECAST($C$88,O89:P89,$O$87:$P$87),IF(AND($C$88&gt;$P$87,$C$3&lt;=$Q$87),FORECAST($C$88,P89:Q89,$P$87:$Q$87),0)))))))</f>
        <v>0.81599999999999995</v>
      </c>
      <c r="D89" s="461" t="str">
        <f>"(V1+V2+V3)/1.1*"&amp;ROUND(C89,3)&amp;"%"</f>
        <v>(V1+V2+V3)/1.1*0,816%</v>
      </c>
      <c r="E89" s="462">
        <f>C88*10^9*ROUND(C89,3)/100</f>
        <v>8160000</v>
      </c>
      <c r="F89" s="459"/>
      <c r="G89" s="459"/>
      <c r="H89" s="459"/>
      <c r="I89" s="459"/>
      <c r="J89" s="459">
        <v>0.81599999999999995</v>
      </c>
      <c r="K89" s="459">
        <v>0.81599999999999995</v>
      </c>
      <c r="L89" s="459">
        <v>0.58299999999999996</v>
      </c>
      <c r="M89" s="459">
        <v>0.505</v>
      </c>
      <c r="N89" s="459">
        <v>0.38900000000000001</v>
      </c>
      <c r="O89" s="459">
        <v>0.311</v>
      </c>
      <c r="P89" s="459">
        <v>0.17599999999999999</v>
      </c>
      <c r="Q89" s="463">
        <v>0.114</v>
      </c>
    </row>
    <row r="90" spans="1:20" s="468" customFormat="1" ht="15.75">
      <c r="A90" s="464"/>
      <c r="B90" s="465"/>
      <c r="C90" s="466">
        <v>1.5</v>
      </c>
      <c r="D90" s="467"/>
      <c r="E90" s="465"/>
      <c r="F90" s="465"/>
      <c r="G90" s="465"/>
      <c r="H90" s="465"/>
      <c r="I90" s="465"/>
      <c r="J90" s="465"/>
      <c r="K90" s="465"/>
      <c r="L90" s="465"/>
      <c r="M90" s="465"/>
      <c r="N90" s="465"/>
      <c r="O90" s="465"/>
      <c r="P90" s="465"/>
      <c r="Q90" s="465"/>
    </row>
    <row r="91" spans="1:20" s="468" customFormat="1" ht="16.5" thickBot="1">
      <c r="A91" s="469" t="s">
        <v>1195</v>
      </c>
      <c r="B91" s="470" t="s">
        <v>1196</v>
      </c>
      <c r="C91" s="471">
        <f>IF($C$90&lt;=1,J91,IF(AND($C$90&gt;$K$87,$C$90&lt;=$L$87),FORECAST($C$90,K91:L91,$K$87:$L$87),IF(AND($C$90&gt;$L$87,$C$90&lt;=$M$87),FORECAST($C$90,L91:M91,$L$87:$M$87),IF(AND($C$90&gt;$M$87,$C$3&lt;=$N$87),FORECAST($C$90,M91:N91,$M$87:$N$87),IF(AND($C$90&gt;$N$87,$C$3&lt;=$O$87),FORECAST($C$90,N91:O91,$N$87:$O$87),IF(AND($C$90&gt;$O$87,$C$90&lt;=$P$87),FORECAST($C$90,O91:P91,$O$87:$P$87),IF(AND($C$90&gt;$P$87,$C$3&lt;=$Q$87),FORECAST($C$90,P91:Q91,$P$87:$Q$87),0)))))))</f>
        <v>0.75775000000000003</v>
      </c>
      <c r="D91" s="472" t="str">
        <f>"(V1+V2+V3)/1.1*"&amp;ROUND(C91,3)&amp;"%"</f>
        <v>(V1+V2+V3)/1.1*0,758%</v>
      </c>
      <c r="E91" s="473">
        <f>C89*10^9*ROUND(C91,3)/100</f>
        <v>6185280</v>
      </c>
      <c r="F91" s="470"/>
      <c r="G91" s="470"/>
      <c r="H91" s="470"/>
      <c r="I91" s="470"/>
      <c r="J91" s="470">
        <v>0.81599999999999995</v>
      </c>
      <c r="K91" s="470">
        <v>0.81599999999999995</v>
      </c>
      <c r="L91" s="470">
        <v>0.58299999999999996</v>
      </c>
      <c r="M91" s="470">
        <v>0.505</v>
      </c>
      <c r="N91" s="470">
        <v>0.38900000000000001</v>
      </c>
      <c r="O91" s="470">
        <v>0.311</v>
      </c>
      <c r="P91" s="470">
        <v>0.17599999999999999</v>
      </c>
      <c r="Q91" s="470">
        <v>0.114</v>
      </c>
    </row>
    <row r="92" spans="1:20" s="478" customFormat="1" ht="15.75">
      <c r="A92" s="474"/>
      <c r="B92" s="475"/>
      <c r="C92" s="476">
        <v>0.5</v>
      </c>
      <c r="D92" s="477"/>
      <c r="E92"/>
      <c r="F92" s="475"/>
      <c r="G92" s="475"/>
      <c r="H92" s="475"/>
      <c r="I92" s="475"/>
      <c r="J92" s="475"/>
      <c r="K92" s="475"/>
      <c r="L92" s="475"/>
      <c r="M92" s="475"/>
      <c r="N92" s="475"/>
      <c r="O92" s="475"/>
      <c r="P92" s="475"/>
      <c r="Q92"/>
    </row>
    <row r="93" spans="1:20" s="484" customFormat="1" ht="16.5" thickBot="1">
      <c r="A93" s="479" t="s">
        <v>1197</v>
      </c>
      <c r="B93" s="480" t="s">
        <v>1198</v>
      </c>
      <c r="C93" s="481">
        <f>IF($C$92&lt;=1,J93,IF(AND($C$92&gt;$K$87,$C$92&lt;=$L$87),FORECAST($C$92,K93:L93,$K$87:$L$87),IF(AND($C$92&gt;$L$87,$C$92&lt;=$M$87),FORECAST($C$92,L93:M93,$L$87:$M$87),IF(AND($C$92&gt;$M$87,$C$3&lt;=$N$87),FORECAST($C$92,M93:N93,$M$87:$N$87),IF(AND($C$92&gt;$N$87,$C$3&lt;=$O$87),FORECAST($C$92,N93:O93,$N$87:$O$87),IF(AND($C$92&gt;$O$87,$C$92&lt;=$P$87),FORECAST($C$92,O93:P93,$O$87:$P$87),IF(AND($C$92&gt;$P$87,$C$3&lt;=$Q$87),FORECAST($C$92,P93:Q93,$P$87:$Q$87),0)))))))</f>
        <v>4.0720000000000001</v>
      </c>
      <c r="D93" s="482" t="str">
        <f>"(V1+V2+V3)/1.1*"&amp;ROUND(C93,3)&amp;"%"</f>
        <v>(V1+V2+V3)/1.1*4,072%</v>
      </c>
      <c r="E93" s="473">
        <f>C91*10^9*ROUND(C93,3)/100</f>
        <v>30855580</v>
      </c>
      <c r="F93" s="480"/>
      <c r="G93" s="480"/>
      <c r="H93" s="480"/>
      <c r="I93" s="480"/>
      <c r="J93" s="480">
        <v>4.0720000000000001</v>
      </c>
      <c r="K93" s="480">
        <v>4.0720000000000001</v>
      </c>
      <c r="L93" s="480">
        <v>3.8064999999999998</v>
      </c>
      <c r="M93" s="480">
        <v>3.5409999999999999</v>
      </c>
      <c r="N93" s="480">
        <v>3.0790000000000002</v>
      </c>
      <c r="O93" s="480">
        <v>2.7069999999999999</v>
      </c>
      <c r="P93" s="480">
        <v>2.3809999999999998</v>
      </c>
      <c r="Q93" s="483"/>
      <c r="S93" s="484">
        <f>K93</f>
        <v>4.0720000000000001</v>
      </c>
      <c r="T93" s="484">
        <f>M93</f>
        <v>3.5409999999999999</v>
      </c>
    </row>
    <row r="94" spans="1:20" s="484" customFormat="1" ht="15.75">
      <c r="A94" s="485"/>
      <c r="B94" s="486"/>
      <c r="C94" s="487"/>
      <c r="D94" s="488"/>
      <c r="E94" s="489"/>
      <c r="F94" s="486"/>
      <c r="G94" s="486"/>
      <c r="H94" s="486"/>
      <c r="I94" s="486"/>
      <c r="J94" s="486"/>
      <c r="K94" s="486"/>
      <c r="L94" s="486"/>
      <c r="M94" s="486"/>
      <c r="N94" s="486"/>
      <c r="O94" s="486"/>
      <c r="P94" s="486"/>
      <c r="Q94" s="486"/>
    </row>
    <row r="95" spans="1:20" s="484" customFormat="1" ht="15.75">
      <c r="A95" s="485"/>
      <c r="B95" s="486"/>
      <c r="C95" s="487"/>
      <c r="D95" s="488"/>
      <c r="E95" s="489"/>
      <c r="F95" s="486"/>
      <c r="G95" s="486"/>
      <c r="H95" s="486"/>
      <c r="I95" s="486"/>
      <c r="J95" s="486"/>
      <c r="K95" s="486"/>
      <c r="L95" s="486"/>
      <c r="M95" s="486"/>
      <c r="N95" s="486"/>
      <c r="O95" s="486"/>
      <c r="P95" s="486"/>
      <c r="Q95" s="486"/>
    </row>
    <row r="96" spans="1:20" ht="16.5" thickBot="1">
      <c r="A96" s="312" t="s">
        <v>1199</v>
      </c>
      <c r="B96" s="442"/>
      <c r="C96" s="490"/>
      <c r="D96" s="444"/>
      <c r="E96" s="445"/>
      <c r="H96" s="301"/>
      <c r="I96" s="301"/>
      <c r="J96" s="301"/>
      <c r="K96" s="301"/>
      <c r="L96" s="301"/>
      <c r="M96" s="301"/>
      <c r="N96" s="301"/>
      <c r="O96" s="301"/>
      <c r="P96" s="301"/>
      <c r="Q96" s="301"/>
    </row>
    <row r="97" spans="1:21" ht="15.75">
      <c r="A97" s="1161" t="s">
        <v>245</v>
      </c>
      <c r="B97" s="1163" t="s">
        <v>246</v>
      </c>
      <c r="C97" s="1165" t="s">
        <v>247</v>
      </c>
      <c r="D97" s="1167" t="s">
        <v>248</v>
      </c>
      <c r="E97" s="1163" t="s">
        <v>249</v>
      </c>
      <c r="F97" s="491"/>
      <c r="G97" s="1169" t="s">
        <v>1200</v>
      </c>
      <c r="H97" s="1169"/>
      <c r="I97" s="1169"/>
      <c r="J97" s="1169"/>
      <c r="K97" s="1169"/>
      <c r="L97" s="1169"/>
      <c r="M97" s="1169"/>
      <c r="N97" s="1169"/>
      <c r="O97" s="1169"/>
      <c r="P97" s="1169"/>
      <c r="Q97" s="1177"/>
    </row>
    <row r="98" spans="1:21" ht="15.75">
      <c r="A98" s="1162"/>
      <c r="B98" s="1164"/>
      <c r="C98" s="1166"/>
      <c r="D98" s="1168"/>
      <c r="E98" s="1164"/>
      <c r="F98" s="492"/>
      <c r="G98" s="493"/>
      <c r="H98" s="494"/>
      <c r="I98" s="495">
        <v>5</v>
      </c>
      <c r="J98" s="495">
        <v>10</v>
      </c>
      <c r="K98" s="495">
        <v>15</v>
      </c>
      <c r="L98" s="495">
        <v>25</v>
      </c>
      <c r="M98" s="495">
        <v>50</v>
      </c>
      <c r="N98" s="495">
        <v>100</v>
      </c>
      <c r="O98" s="495">
        <v>200</v>
      </c>
      <c r="P98" s="495">
        <v>500</v>
      </c>
      <c r="Q98" s="496">
        <v>1000</v>
      </c>
      <c r="S98" s="300">
        <v>200</v>
      </c>
      <c r="T98" s="300">
        <f>N98</f>
        <v>100</v>
      </c>
      <c r="U98" s="300">
        <f>P98</f>
        <v>500</v>
      </c>
    </row>
    <row r="99" spans="1:21" ht="15.75">
      <c r="A99" s="497" t="s">
        <v>1201</v>
      </c>
      <c r="B99" s="498" t="s">
        <v>1202</v>
      </c>
      <c r="C99" s="499">
        <f>IF($C$2&lt;=15,K99,IF(AND($C$2&gt;$K$98,$C$2&lt;=$L$98),FORECAST($C$2,K99:L99,$K$98:$L$98),IF(AND($C$2&gt;$L$98,$C$2&lt;=$M$98),FORECAST($C$2,L99:M99,$L$98:$M$98),IF(AND($C$2&gt;$M$98,$C$2&lt;=$N$98),FORECAST($C$2,M99:N99,$M$98:$N$98),IF(AND($C$2&gt;$N$98,$C$2&lt;=$O$98),FORECAST($C$2,N99:O99,$N$98:$O$98),IF(AND($C$2&gt;$O$98,$C$2&lt;=$P$98),FORECAST($C$2,O99:P99,$O$98:$P$98),IF(AND($C$2&gt;$P$98,$C$2&lt;=$Q$98),FORECAST($C$2,P99:Q99,$P$98:$Q$98),0)))))))</f>
        <v>1.9E-2</v>
      </c>
      <c r="D99" s="500" t="str">
        <f>$B$2&amp;"*"&amp;ROUND(C99,3)&amp;"%"</f>
        <v>TM§T*0,019%</v>
      </c>
      <c r="E99" s="501">
        <f>tmdt*10^9*ROUND(C99,3)/100</f>
        <v>2137690</v>
      </c>
      <c r="F99" s="502" t="s">
        <v>259</v>
      </c>
      <c r="G99" s="502"/>
      <c r="H99" s="502"/>
      <c r="I99" s="503"/>
      <c r="J99" s="503"/>
      <c r="K99" s="503">
        <v>1.9E-2</v>
      </c>
      <c r="L99" s="503">
        <v>1.7000000000000001E-2</v>
      </c>
      <c r="M99" s="504">
        <v>1.4999999999999999E-2</v>
      </c>
      <c r="N99" s="504">
        <v>1.2500000000000001E-2</v>
      </c>
      <c r="O99" s="504">
        <v>0.01</v>
      </c>
      <c r="P99" s="504">
        <v>7.4999999999999997E-3</v>
      </c>
      <c r="Q99" s="505">
        <v>4.7000000000000002E-3</v>
      </c>
      <c r="S99" s="506">
        <v>25</v>
      </c>
      <c r="T99" s="506">
        <f>K98</f>
        <v>15</v>
      </c>
      <c r="U99" s="506">
        <f>M98</f>
        <v>50</v>
      </c>
    </row>
    <row r="100" spans="1:21" ht="15.75">
      <c r="A100" s="497" t="s">
        <v>1203</v>
      </c>
      <c r="B100" s="498" t="s">
        <v>1204</v>
      </c>
      <c r="C100" s="499">
        <f>IF($C$2&lt;=15,K100,IF(AND($C$2&gt;$K$98,$C$2&lt;=$L$98),FORECAST($C$2,K100:L100,$K$98:$L$98),IF(AND($C$2&gt;$L$98,$C$2&lt;=$M$98),FORECAST($C$2,L100:M100,$L$98:$M$98),IF(AND($C$2&gt;$M$98,$C$2&lt;=$N$98),FORECAST($C$2,M100:N100,$M$98:$N$98),IF(AND($C$2&gt;$N$98,$C$2&lt;=$O$98),FORECAST($C$2,N100:O100,$N$98:$O$98),IF(AND($C$2&gt;$O$98,$C$2&lt;=$P$98),FORECAST($C$2,O100:P100,$O$98:$P$98),IF(AND($C$2&gt;$P$98,$C$2&lt;=$Q$98),FORECAST($C$2,P100:Q100,$P$98:$Q$98),0)))))))</f>
        <v>1.9E-2</v>
      </c>
      <c r="D100" s="500" t="str">
        <f>$B$2&amp;"*"&amp;ROUND(C100,3)&amp;"%"</f>
        <v>TM§T*0,019%</v>
      </c>
      <c r="E100" s="501">
        <f>tmdt*10^9*ROUND(C100,3)/100</f>
        <v>2137690</v>
      </c>
      <c r="F100" s="502" t="s">
        <v>259</v>
      </c>
      <c r="G100" s="502"/>
      <c r="H100" s="502"/>
      <c r="I100" s="503"/>
      <c r="J100" s="503"/>
      <c r="K100" s="503">
        <v>1.9E-2</v>
      </c>
      <c r="L100" s="503">
        <v>1.7000000000000001E-2</v>
      </c>
      <c r="M100" s="504">
        <v>1.4999999999999999E-2</v>
      </c>
      <c r="N100" s="504">
        <v>1.2500000000000001E-2</v>
      </c>
      <c r="O100" s="504">
        <v>0.01</v>
      </c>
      <c r="P100" s="504">
        <v>7.4999999999999997E-3</v>
      </c>
      <c r="Q100" s="505">
        <v>4.7000000000000002E-3</v>
      </c>
      <c r="S100" s="506">
        <v>25</v>
      </c>
      <c r="T100" s="506">
        <f>K99</f>
        <v>1.9E-2</v>
      </c>
      <c r="U100" s="506">
        <f>M99</f>
        <v>1.4999999999999999E-2</v>
      </c>
    </row>
    <row r="101" spans="1:21" ht="15.75" customHeight="1">
      <c r="A101" s="507" t="s">
        <v>1205</v>
      </c>
      <c r="B101" s="508" t="s">
        <v>260</v>
      </c>
      <c r="C101" s="499">
        <f>IF($C$2&lt;=5,I101,IF(AND($C$2&gt;$I$98,$C$2&lt;=$J$98),FORECAST($C$2,I101:J101,$I$98:$J$98),IF(AND($C$2&gt;$J$98,$C$2&lt;=$M$98),FORECAST($C$2,J101:M101,$J$98:$M$98),IF(AND($C$2&gt;$M$98,$C$2&lt;=$N$98),FORECAST($C$2,M101:N101,$M$98:$N$98),IF(AND($C$2&gt;$N$98,$C$2&lt;=$O$98),FORECAST($C$2,N101:O101,$N$98:$O$98),IF(AND($C$2&gt;$O$98,$C$2&lt;=$P$98),FORECAST($C$2,O101:P101,$O$98:$P$98),IF(AND($C$2&gt;$P$98,$C$2&lt;=$Q$98),FORECAST($C$2,P101:Q101,$P$98:$Q$98),0)))))))</f>
        <v>0.63890137499999999</v>
      </c>
      <c r="D101" s="500" t="str">
        <f>$B$2&amp;"*"&amp;ROUND(C101,3)&amp;"%"</f>
        <v>TM§T*0,639%</v>
      </c>
      <c r="E101" s="501">
        <f>tmdt*10^9*ROUND(C101,3)/100</f>
        <v>71893890</v>
      </c>
      <c r="F101" s="430" t="s">
        <v>261</v>
      </c>
      <c r="G101" s="430"/>
      <c r="H101" s="430"/>
      <c r="I101" s="509">
        <v>0.96</v>
      </c>
      <c r="J101" s="510">
        <v>0.64500000000000002</v>
      </c>
      <c r="K101" s="511">
        <v>0.62062499999999998</v>
      </c>
      <c r="L101" s="511">
        <v>0.57187499999999991</v>
      </c>
      <c r="M101" s="510">
        <v>0.45</v>
      </c>
      <c r="N101" s="510">
        <v>0.34499999999999997</v>
      </c>
      <c r="O101" s="511">
        <v>0.3075</v>
      </c>
      <c r="P101" s="510">
        <v>0.19500000000000001</v>
      </c>
      <c r="Q101" s="512">
        <v>0.129</v>
      </c>
      <c r="S101" s="300">
        <f>FORECAST(S98,T101:U101,T98:U98)</f>
        <v>0.3075</v>
      </c>
      <c r="T101" s="300">
        <f>N101</f>
        <v>0.34499999999999997</v>
      </c>
      <c r="U101" s="300">
        <f>P101</f>
        <v>0.19500000000000001</v>
      </c>
    </row>
    <row r="102" spans="1:21" ht="15.75">
      <c r="A102" s="507" t="s">
        <v>1206</v>
      </c>
      <c r="B102" s="508" t="s">
        <v>262</v>
      </c>
      <c r="C102" s="499">
        <f>IF($C$2&lt;=5,I102,IF(AND($C$2&gt;$I$98,$C$2&lt;=$J$98),FORECAST($C$2,I102:J102,$I$98:$J$98),IF(AND($C$2&gt;$J$98,$C$2&lt;=$M$98),FORECAST($C$2,J102:M102,$J$98:$M$98),IF(AND($C$2&gt;$M$98,$C$2&lt;=$N$98),FORECAST($C$2,M102:N102,$M$98:$N$98),IF(AND($C$2&gt;$N$98,$C$2&lt;=$O$98),FORECAST($C$2,N102:O102,$N$98:$O$98),IF(AND($C$2&gt;$O$98,$C$2&lt;=$P$98),FORECAST($C$2,O102:P102,$O$98:$P$98),IF(AND($C$2&gt;$P$98,$C$2&lt;=$Q$98),FORECAST($C$2,P102:Q102,$P$98:$Q$98),0)))))))</f>
        <v>0.38671612499999997</v>
      </c>
      <c r="D102" s="500" t="str">
        <f>$B$2&amp;"*"&amp;ROUND(C102,3)&amp;"%"</f>
        <v>TM§T*0,387%</v>
      </c>
      <c r="E102" s="501">
        <f>tmdt*10^9*ROUND(C102,3)/100</f>
        <v>43541370</v>
      </c>
      <c r="F102" s="430" t="s">
        <v>263</v>
      </c>
      <c r="G102" s="430"/>
      <c r="H102" s="430"/>
      <c r="I102" s="509">
        <v>0.56999999999999995</v>
      </c>
      <c r="J102" s="510">
        <v>0.39</v>
      </c>
      <c r="K102" s="511">
        <v>0.37687500000000002</v>
      </c>
      <c r="L102" s="511">
        <v>0.35062499999999996</v>
      </c>
      <c r="M102" s="510">
        <v>0.28499999999999998</v>
      </c>
      <c r="N102" s="510">
        <v>0.22500000000000001</v>
      </c>
      <c r="O102" s="511">
        <v>0.19125000000000003</v>
      </c>
      <c r="P102" s="510">
        <v>0.09</v>
      </c>
      <c r="Q102" s="512">
        <v>4.8000000000000001E-2</v>
      </c>
      <c r="S102" s="300">
        <f>FORECAST(S98,T102:U102,T98:U98)</f>
        <v>0.19125000000000003</v>
      </c>
      <c r="T102" s="300">
        <f>N102</f>
        <v>0.22500000000000001</v>
      </c>
      <c r="U102" s="300">
        <f>P102</f>
        <v>0.09</v>
      </c>
    </row>
    <row r="103" spans="1:21" s="523" customFormat="1" ht="15.75">
      <c r="A103" s="513" t="s">
        <v>1207</v>
      </c>
      <c r="B103" s="514" t="s">
        <v>1208</v>
      </c>
      <c r="C103" s="515">
        <f>IF(C4&lt;=15,K103,IF(AND(C4&gt;$K$98,C4&lt;=$L$98),FORECAST(C4,K103:L103,$K$98:$L$98),IF(AND(C4&gt;$L$98,C4&lt;=$M$98),FORECAST(C4,L103:M103,$L$98:$M$98),IF(AND(C4&gt;$M$98,C4&lt;=$N$98),FORECAST(C4,M103:N103,$M$98:$N$98),IF(AND(C4&gt;$N$98,C4&lt;=$O$98),FORECAST(C4,N103:O103,$N$98:$O$98),IF(AND(C4&gt;$O$98,C4&lt;=$P$98),FORECAST(C4,O103:P103,$O$98:$P$98),IF(AND(C4&gt;$P$98,C4&lt;=$Q$98),FORECAST(C4,P103:Q103,$P$98:$Q$98),0)))))))</f>
        <v>4.9500000000000002E-2</v>
      </c>
      <c r="D103" s="516" t="str">
        <f>B4&amp;"/1.1*"&amp;ROUND(C103,4)&amp;"%"</f>
        <v>A/1.1*0,0495%</v>
      </c>
      <c r="E103" s="517">
        <f>C4*10^9*ROUND(C103,3)/100</f>
        <v>0</v>
      </c>
      <c r="F103" s="518" t="s">
        <v>258</v>
      </c>
      <c r="G103" s="518"/>
      <c r="H103" s="518"/>
      <c r="I103" s="519"/>
      <c r="J103" s="520"/>
      <c r="K103" s="520">
        <v>4.9500000000000002E-2</v>
      </c>
      <c r="L103" s="521">
        <v>4.478571428571429E-2</v>
      </c>
      <c r="M103" s="520">
        <v>3.3000000000000002E-2</v>
      </c>
      <c r="N103" s="520">
        <v>2.5499999999999998E-2</v>
      </c>
      <c r="O103" s="520">
        <v>1.95E-2</v>
      </c>
      <c r="P103" s="520">
        <v>1.4999999999999999E-2</v>
      </c>
      <c r="Q103" s="522">
        <v>1.23E-2</v>
      </c>
      <c r="S103" s="300">
        <f>FORECAST($S$99,T103:U103,$T$99:$U$99)</f>
        <v>4.478571428571429E-2</v>
      </c>
      <c r="T103" s="524">
        <f t="shared" ref="T103:T109" si="2">K103</f>
        <v>4.9500000000000002E-2</v>
      </c>
      <c r="U103" s="300">
        <f t="shared" ref="U103:U109" si="3">M103</f>
        <v>3.3000000000000002E-2</v>
      </c>
    </row>
    <row r="104" spans="1:21" s="523" customFormat="1" ht="15.75">
      <c r="A104" s="513" t="s">
        <v>1209</v>
      </c>
      <c r="B104" s="514" t="s">
        <v>1210</v>
      </c>
      <c r="C104" s="515">
        <f>IF(C5&lt;=15,K104,IF(AND(C5&gt;$K$98,C5&lt;=$L$98),FORECAST(C5,K104:L104,$K$98:$L$98),IF(AND(C5&gt;$L$98,C5&lt;=$M$98),FORECAST(C5,L104:M104,$L$98:$M$98),IF(AND(C5&gt;$M$98,C5&lt;=$N$98),FORECAST(C5,M104:N104,$M$98:$N$98),IF(AND(C5&gt;$N$98,C5&lt;=$O$98),FORECAST(C5,N104:O104,$N$98:$O$98),IF(AND(C5&gt;$O$98,C5&lt;=$P$98),FORECAST(C5,O104:P104,$O$98:$P$98),IF(AND(C5&gt;$P$98,C5&lt;=$Q$98),FORECAST(C5,P104:Q104,$P$98:$Q$98),0)))))))</f>
        <v>5.7000000000000002E-2</v>
      </c>
      <c r="D104" s="516" t="str">
        <f>B5&amp;"/1.1*"&amp;ROUND(C104,4)&amp;"%"</f>
        <v>B/1.1*0,057%</v>
      </c>
      <c r="E104" s="517">
        <f>C5*10^9*ROUND(C104,3)/100</f>
        <v>0</v>
      </c>
      <c r="F104" s="518" t="s">
        <v>258</v>
      </c>
      <c r="G104" s="518"/>
      <c r="H104" s="518"/>
      <c r="I104" s="519"/>
      <c r="J104" s="520"/>
      <c r="K104" s="520">
        <v>5.7000000000000002E-2</v>
      </c>
      <c r="L104" s="521">
        <v>5.1514285714285707E-2</v>
      </c>
      <c r="M104" s="520">
        <v>3.78E-2</v>
      </c>
      <c r="N104" s="520">
        <v>2.9100000000000001E-2</v>
      </c>
      <c r="O104" s="520">
        <v>2.2499999999999999E-2</v>
      </c>
      <c r="P104" s="520">
        <v>1.7399999999999999E-2</v>
      </c>
      <c r="Q104" s="522">
        <v>1.32E-2</v>
      </c>
      <c r="S104" s="300">
        <f t="shared" ref="S104:S122" si="4">FORECAST($S$99,T104:U104,$T$99:$U$99)</f>
        <v>5.1514285714285707E-2</v>
      </c>
      <c r="T104" s="524">
        <f t="shared" si="2"/>
        <v>5.7000000000000002E-2</v>
      </c>
      <c r="U104" s="300">
        <f t="shared" si="3"/>
        <v>3.78E-2</v>
      </c>
    </row>
    <row r="105" spans="1:21" s="523" customFormat="1" ht="15.75">
      <c r="A105" s="513" t="s">
        <v>1211</v>
      </c>
      <c r="B105" s="514" t="s">
        <v>1276</v>
      </c>
      <c r="C105" s="515" t="e">
        <f>IF(C6&lt;=15,K105,IF(AND(C6&gt;$K$98,C6&lt;=$L$98),FORECAST(C6,K105:L105,$K$98:$L$98),IF(AND(C6&gt;$L$98,C6&lt;=$M$98),FORECAST(C6,L105:M105,$L$98:$M$98),IF(AND(C6&gt;$M$98,C6&lt;=$N$98),FORECAST(C6,M105:N105,$M$98:$N$98),IF(AND(C6&gt;$N$98,C6&lt;=$O$98),FORECAST(C6,N105:O105,$N$98:$O$98),IF(AND(C6&gt;$O$98,C6&lt;=$P$98),FORECAST(C6,O105:P105,$O$98:$P$98),IF(AND(C6&gt;$P$98,C6&lt;=$Q$98),FORECAST(C6,P105:Q105,$P$98:$Q$98),0)))))))</f>
        <v>#REF!</v>
      </c>
      <c r="D105" s="516" t="e">
        <f>B6&amp;"/1.1*"&amp;ROUND(C105,4)&amp;"%"</f>
        <v>#REF!</v>
      </c>
      <c r="E105" s="517" t="e">
        <f>C6*10^9*ROUND(C105,3)/100</f>
        <v>#REF!</v>
      </c>
      <c r="F105" s="518" t="s">
        <v>258</v>
      </c>
      <c r="G105" s="518"/>
      <c r="H105" s="525"/>
      <c r="I105" s="520"/>
      <c r="J105" s="520"/>
      <c r="K105" s="520">
        <v>3.27E-2</v>
      </c>
      <c r="L105" s="526">
        <v>2.3974285714285701E-2</v>
      </c>
      <c r="M105" s="520">
        <v>2.1600000000000001E-2</v>
      </c>
      <c r="N105" s="520">
        <v>1.6500000000000001E-2</v>
      </c>
      <c r="O105" s="520">
        <v>1.29E-2</v>
      </c>
      <c r="P105" s="520">
        <v>9.9000000000000008E-3</v>
      </c>
      <c r="Q105" s="522">
        <v>7.4999999999999997E-3</v>
      </c>
      <c r="S105" s="300">
        <f t="shared" si="4"/>
        <v>2.9528571428571428E-2</v>
      </c>
      <c r="T105" s="524">
        <f t="shared" si="2"/>
        <v>3.27E-2</v>
      </c>
      <c r="U105" s="300">
        <f t="shared" si="3"/>
        <v>2.1600000000000001E-2</v>
      </c>
    </row>
    <row r="106" spans="1:21" s="523" customFormat="1" ht="15.75">
      <c r="A106" s="513" t="s">
        <v>1212</v>
      </c>
      <c r="B106" s="514" t="s">
        <v>1213</v>
      </c>
      <c r="C106" s="515">
        <f>IF(C7&lt;=15,K106,IF(AND(C7&gt;$K$98,C7&lt;=$L$98),FORECAST(C7,K106:L106,$K$98:$L$98),IF(AND(C7&gt;$L$98,C7&lt;=$M$98),FORECAST(C7,L106:M106,$L$98:$M$98),IF(AND(C7&gt;$M$98,C7&lt;=$N$98),FORECAST(C7,M106:N106,$M$98:$N$98),IF(AND(C7&gt;$N$98,C7&lt;=$O$98),FORECAST(C7,N106:O106,$N$98:$O$98),IF(AND(C7&gt;$O$98,C7&lt;=$P$98),FORECAST(C7,O106:P106,$O$98:$P$98),IF(AND(C7&gt;$P$98,C7&lt;=$Q$98),FORECAST(C7,P106:Q106,$P$98:$Q$98),0)))))))</f>
        <v>3.6299999999999999E-2</v>
      </c>
      <c r="D106" s="516" t="e">
        <f>B7&amp;"/1.1*"&amp;ROUND(C106,4)&amp;"%"</f>
        <v>#REF!</v>
      </c>
      <c r="E106" s="517">
        <f>C7*10^9*ROUND(C106,3)/100</f>
        <v>0</v>
      </c>
      <c r="F106" s="518" t="s">
        <v>258</v>
      </c>
      <c r="G106" s="518"/>
      <c r="H106" s="525"/>
      <c r="I106" s="520"/>
      <c r="J106" s="520"/>
      <c r="K106" s="520">
        <v>3.6299999999999999E-2</v>
      </c>
      <c r="L106" s="526">
        <v>3.2785714285714286E-2</v>
      </c>
      <c r="M106" s="520">
        <v>2.4E-2</v>
      </c>
      <c r="N106" s="520">
        <v>1.83E-2</v>
      </c>
      <c r="O106" s="520">
        <v>1.44E-2</v>
      </c>
      <c r="P106" s="520">
        <v>1.11E-2</v>
      </c>
      <c r="Q106" s="522">
        <v>8.3999999999999995E-3</v>
      </c>
      <c r="S106" s="300">
        <f t="shared" si="4"/>
        <v>3.2785714285714286E-2</v>
      </c>
      <c r="T106" s="524">
        <f t="shared" si="2"/>
        <v>3.6299999999999999E-2</v>
      </c>
      <c r="U106" s="300">
        <f t="shared" si="3"/>
        <v>2.4E-2</v>
      </c>
    </row>
    <row r="107" spans="1:21" s="523" customFormat="1" ht="15.75">
      <c r="A107" s="513" t="s">
        <v>1214</v>
      </c>
      <c r="B107" s="514" t="s">
        <v>1215</v>
      </c>
      <c r="C107" s="515">
        <f>IF(C8&lt;=15,K107,IF(AND(C8&gt;$K$98,C8&lt;=$L$98),FORECAST(C8,K107:L107,$K$98:$L$98),IF(AND(C8&gt;$L$98,C8&lt;=$M$98),FORECAST(C8,L107:M107,$L$98:$M$98),IF(AND(C8&gt;$M$98,C8&lt;=$N$98),FORECAST(C8,M107:N107,$M$98:$N$98),IF(AND(C8&gt;$N$98,C8&lt;=$O$98),FORECAST(C8,N107:O107,$N$98:$O$98),IF(AND(C8&gt;$O$98,C8&lt;=$P$98),FORECAST(C8,O107:P107,$O$98:$P$98),IF(AND(C8&gt;$P$98,C8&lt;=$Q$98),FORECAST(C8,P107:Q107,$P$98:$Q$98),0)))))))</f>
        <v>3.78E-2</v>
      </c>
      <c r="D107" s="516" t="e">
        <f>B8&amp;"/1.1*"&amp;ROUND(C107,4)&amp;"%"</f>
        <v>#REF!</v>
      </c>
      <c r="E107" s="517">
        <f>C8*10^9*ROUND(C107,3)/100</f>
        <v>0</v>
      </c>
      <c r="F107" s="518" t="s">
        <v>258</v>
      </c>
      <c r="G107" s="518"/>
      <c r="H107" s="525"/>
      <c r="I107" s="520"/>
      <c r="J107" s="520"/>
      <c r="K107" s="520">
        <v>3.78E-2</v>
      </c>
      <c r="L107" s="526">
        <v>3.4285714285714287E-2</v>
      </c>
      <c r="M107" s="520">
        <v>2.5499999999999998E-2</v>
      </c>
      <c r="N107" s="520">
        <v>1.95E-2</v>
      </c>
      <c r="O107" s="520">
        <v>1.4999999999999999E-2</v>
      </c>
      <c r="P107" s="520">
        <v>1.17E-2</v>
      </c>
      <c r="Q107" s="522">
        <v>8.9999999999999993E-3</v>
      </c>
      <c r="S107" s="300">
        <f t="shared" si="4"/>
        <v>3.4285714285714287E-2</v>
      </c>
      <c r="T107" s="524">
        <f t="shared" si="2"/>
        <v>3.78E-2</v>
      </c>
      <c r="U107" s="300">
        <f t="shared" si="3"/>
        <v>2.5499999999999998E-2</v>
      </c>
    </row>
    <row r="108" spans="1:21" s="537" customFormat="1" ht="15.75">
      <c r="A108" s="527" t="s">
        <v>1216</v>
      </c>
      <c r="B108" s="528" t="s">
        <v>1217</v>
      </c>
      <c r="C108" s="529">
        <f>IF(C4&lt;=15,K108,IF(AND(C4&gt;$K$98,C4&lt;=$L$98),FORECAST(C4,K108:L108,$K$98:$L$98),IF(AND(C4&gt;$L$98,C4&lt;=$M$98),FORECAST(C4,L108:M108,$L$98:$M$98),IF(AND(C4&gt;$M$98,C4&lt;=$N$98),FORECAST(C4,M108:N108,$M$98:$N$98),IF(AND(C4&gt;$N$98,C4&lt;=$O$98),FORECAST(C4,N108:O108,$N$98:$O$98),IF(AND(C4&gt;$O$98,C4&lt;=$P$98),FORECAST(C4,O108:P108,$O$98:$P$98),IF(AND(C4&gt;$P$98,C4&lt;=$Q$98),FORECAST(C4,P108:Q108,$P$98:$Q$98),0)))))))</f>
        <v>4.8000000000000001E-2</v>
      </c>
      <c r="D108" s="530" t="str">
        <f>B4&amp;"/1.1*"&amp;ROUND(C108,4)&amp;"%"</f>
        <v>A/1.1*0,048%</v>
      </c>
      <c r="E108" s="531">
        <f>C4*10^9*ROUND(C108,3)/100</f>
        <v>0</v>
      </c>
      <c r="F108" s="532" t="s">
        <v>258</v>
      </c>
      <c r="G108" s="532"/>
      <c r="H108" s="533"/>
      <c r="I108" s="534"/>
      <c r="J108" s="534"/>
      <c r="K108" s="534">
        <v>4.8000000000000001E-2</v>
      </c>
      <c r="L108" s="535">
        <v>4.3371428571428575E-2</v>
      </c>
      <c r="M108" s="534">
        <v>3.1800000000000002E-2</v>
      </c>
      <c r="N108" s="534">
        <v>2.4899999999999999E-2</v>
      </c>
      <c r="O108" s="534">
        <v>1.8599999999999998E-2</v>
      </c>
      <c r="P108" s="534">
        <v>1.38E-2</v>
      </c>
      <c r="Q108" s="536">
        <v>1.14E-2</v>
      </c>
      <c r="S108" s="300">
        <f t="shared" si="4"/>
        <v>4.3371428571428575E-2</v>
      </c>
      <c r="T108" s="524">
        <f t="shared" si="2"/>
        <v>4.8000000000000001E-2</v>
      </c>
      <c r="U108" s="300">
        <f t="shared" si="3"/>
        <v>3.1800000000000002E-2</v>
      </c>
    </row>
    <row r="109" spans="1:21" s="537" customFormat="1" ht="15.75">
      <c r="A109" s="527" t="s">
        <v>1218</v>
      </c>
      <c r="B109" s="528" t="s">
        <v>1219</v>
      </c>
      <c r="C109" s="529">
        <f>IF(C5&lt;=15,K109,IF(AND(C5&gt;$K$98,C5&lt;=$L$98),FORECAST(C5,K109:L109,$K$98:$L$98),IF(AND(C5&gt;$L$98,C5&lt;=$M$98),FORECAST(C5,L109:M109,$L$98:$M$98),IF(AND(C5&gt;$M$98,C5&lt;=$N$98),FORECAST(C5,M109:N109,$M$98:$N$98),IF(AND(C5&gt;$N$98,C5&lt;=$O$98),FORECAST(C5,N109:O109,$N$98:$O$98),IF(AND(C5&gt;$O$98,C5&lt;=$P$98),FORECAST(C5,O109:P109,$O$98:$P$98),IF(AND(C5&gt;$P$98,C5&lt;=$Q$98),FORECAST(C5,P109:Q109,$P$98:$Q$98),0)))))))</f>
        <v>5.5500000000000001E-2</v>
      </c>
      <c r="D109" s="530" t="str">
        <f>B5&amp;"/1.1*"&amp;ROUND(C109,4)&amp;"%"</f>
        <v>B/1.1*0,0555%</v>
      </c>
      <c r="E109" s="531">
        <f>C5*10^9*ROUND(C109,3)/100</f>
        <v>0</v>
      </c>
      <c r="F109" s="532" t="s">
        <v>258</v>
      </c>
      <c r="G109" s="532"/>
      <c r="H109" s="533"/>
      <c r="I109" s="534"/>
      <c r="J109" s="534"/>
      <c r="K109" s="534">
        <v>5.5500000000000001E-2</v>
      </c>
      <c r="L109" s="535">
        <v>5.0014285714285706E-2</v>
      </c>
      <c r="M109" s="534">
        <v>3.6299999999999999E-2</v>
      </c>
      <c r="N109" s="534">
        <v>2.8199999999999999E-2</v>
      </c>
      <c r="O109" s="534">
        <v>2.1600000000000001E-2</v>
      </c>
      <c r="P109" s="534">
        <v>1.6500000000000001E-2</v>
      </c>
      <c r="Q109" s="536">
        <v>1.23E-2</v>
      </c>
      <c r="S109" s="300">
        <f t="shared" si="4"/>
        <v>5.0014285714285706E-2</v>
      </c>
      <c r="T109" s="524">
        <f t="shared" si="2"/>
        <v>5.5500000000000001E-2</v>
      </c>
      <c r="U109" s="300">
        <f t="shared" si="3"/>
        <v>3.6299999999999999E-2</v>
      </c>
    </row>
    <row r="110" spans="1:21" s="537" customFormat="1" ht="15.75">
      <c r="A110" s="527" t="s">
        <v>1220</v>
      </c>
      <c r="B110" s="528" t="s">
        <v>1277</v>
      </c>
      <c r="C110" s="529" t="e">
        <f>IF(C6&lt;=15,K110,IF(AND(C6&gt;$K$98,C6&lt;=$L$98),FORECAST(C6,K110:L110,$K$98:$L$98),IF(AND(C6&gt;$L$98,C6&lt;=$M$98),FORECAST(C6,L110:M110,$L$98:$M$98),IF(AND(C6&gt;$M$98,C6&lt;=$N$98),FORECAST(C6,M110:N110,$M$98:$N$98),IF(AND(C6&gt;$N$98,C6&lt;=$O$98),FORECAST(C6,N110:O110,$N$98:$O$98),IF(AND(C6&gt;$O$98,C6&lt;=$P$98),FORECAST(C6,O110:P110,$O$98:$P$98),IF(AND(C6&gt;$P$98,C6&lt;=$Q$98),FORECAST(C6,P110:Q110,$P$98:$Q$98),0)))))))</f>
        <v>#REF!</v>
      </c>
      <c r="D110" s="530" t="e">
        <f>B6&amp;"/1.1*"&amp;ROUND(C110,4)&amp;"%"</f>
        <v>#REF!</v>
      </c>
      <c r="E110" s="531" t="e">
        <f>C6*10^9*ROUND(C110,3)/100</f>
        <v>#REF!</v>
      </c>
      <c r="F110" s="532" t="s">
        <v>258</v>
      </c>
      <c r="G110" s="532"/>
      <c r="H110" s="533"/>
      <c r="I110" s="534"/>
      <c r="J110" s="534"/>
      <c r="K110" s="534">
        <v>3.1800000000000002E-2</v>
      </c>
      <c r="L110" s="535">
        <v>2.8542857142857144E-2</v>
      </c>
      <c r="M110" s="534">
        <v>2.0400000000000001E-2</v>
      </c>
      <c r="N110" s="534">
        <v>1.6199999999999999E-2</v>
      </c>
      <c r="O110" s="534">
        <v>1.23E-2</v>
      </c>
      <c r="P110" s="534">
        <v>9.2999999999999992E-3</v>
      </c>
      <c r="Q110" s="536">
        <v>7.1999999999999998E-3</v>
      </c>
      <c r="S110" s="300">
        <f t="shared" si="4"/>
        <v>2.8542857142857144E-2</v>
      </c>
      <c r="T110" s="524">
        <f>K110</f>
        <v>3.1800000000000002E-2</v>
      </c>
      <c r="U110" s="300">
        <f>M110</f>
        <v>2.0400000000000001E-2</v>
      </c>
    </row>
    <row r="111" spans="1:21" s="537" customFormat="1" ht="15.75">
      <c r="A111" s="527" t="s">
        <v>1221</v>
      </c>
      <c r="B111" s="528" t="s">
        <v>1222</v>
      </c>
      <c r="C111" s="529">
        <f>IF(C7&lt;=15,K111,IF(AND(C7&gt;$K$98,C7&lt;=$L$98),FORECAST(C7,K111:L111,$K$98:$L$98),IF(AND(C7&gt;$L$98,C7&lt;=$M$98),FORECAST(C7,L111:M111,$L$98:$M$98),IF(AND(C7&gt;$M$98,C7&lt;=$N$98),FORECAST(C7,M111:N111,$M$98:$N$98),IF(AND(C7&gt;$N$98,C7&lt;=$O$98),FORECAST(C7,N111:O111,$N$98:$O$98),IF(AND(C7&gt;$O$98,C7&lt;=$P$98),FORECAST(C7,O111:P111,$O$98:$P$98),IF(AND(C7&gt;$P$98,C7&lt;=$Q$98),FORECAST(C7,P111:Q111,$P$98:$Q$98),0)))))))</f>
        <v>3.5099999999999999E-2</v>
      </c>
      <c r="D111" s="530" t="e">
        <f>B7&amp;"/1.1*"&amp;ROUND(C111,4)&amp;"%"</f>
        <v>#REF!</v>
      </c>
      <c r="E111" s="531">
        <f>C7*10^9*ROUND(C111,3)/100</f>
        <v>0</v>
      </c>
      <c r="F111" s="532" t="s">
        <v>258</v>
      </c>
      <c r="G111" s="532"/>
      <c r="H111" s="533"/>
      <c r="I111" s="534"/>
      <c r="J111" s="534"/>
      <c r="K111" s="534">
        <v>3.5099999999999999E-2</v>
      </c>
      <c r="L111" s="535">
        <v>3.1585714285714286E-2</v>
      </c>
      <c r="M111" s="534">
        <v>2.2800000000000001E-2</v>
      </c>
      <c r="N111" s="534">
        <v>1.7999999999999999E-2</v>
      </c>
      <c r="O111" s="534">
        <v>1.38E-2</v>
      </c>
      <c r="P111" s="534">
        <v>1.0500000000000001E-2</v>
      </c>
      <c r="Q111" s="536">
        <v>7.7999999999999996E-3</v>
      </c>
      <c r="S111" s="300">
        <f t="shared" si="4"/>
        <v>3.1585714285714286E-2</v>
      </c>
      <c r="T111" s="524">
        <f>K111</f>
        <v>3.5099999999999999E-2</v>
      </c>
      <c r="U111" s="300">
        <f>M111</f>
        <v>2.2800000000000001E-2</v>
      </c>
    </row>
    <row r="112" spans="1:21" s="537" customFormat="1" ht="15.75">
      <c r="A112" s="527" t="s">
        <v>1223</v>
      </c>
      <c r="B112" s="528" t="s">
        <v>1224</v>
      </c>
      <c r="C112" s="529">
        <f>IF(C8&lt;=15,K112,IF(AND(C8&gt;$K$98,C8&lt;=$L$98),FORECAST(C8,K112:L112,$K$98:$L$98),IF(AND(C8&gt;$L$98,C8&lt;=$M$98),FORECAST(C8,L112:M112,$L$98:$M$98),IF(AND(C8&gt;$M$98,C8&lt;=$N$98),FORECAST(C8,M112:N112,$M$98:$N$98),IF(AND(C8&gt;$N$98,C8&lt;=$O$98),FORECAST(C8,N112:O112,$N$98:$O$98),IF(AND(C8&gt;$O$98,C8&lt;=$P$98),FORECAST(C8,O112:P112,$O$98:$P$98),IF(AND(C8&gt;$P$98,C8&lt;=$Q$98),FORECAST(C8,P112:Q112,$P$98:$Q$98),0)))))))</f>
        <v>3.6600000000000001E-2</v>
      </c>
      <c r="D112" s="530" t="e">
        <f>B8&amp;"/1.1*"&amp;ROUND(C112,4)&amp;"%"</f>
        <v>#REF!</v>
      </c>
      <c r="E112" s="531">
        <f>C8*10^9*ROUND(C112,3)/100</f>
        <v>0</v>
      </c>
      <c r="F112" s="532" t="s">
        <v>258</v>
      </c>
      <c r="G112" s="532"/>
      <c r="H112" s="533"/>
      <c r="I112" s="534"/>
      <c r="J112" s="534"/>
      <c r="K112" s="534">
        <v>3.6600000000000001E-2</v>
      </c>
      <c r="L112" s="535">
        <v>3.3171428571428574E-2</v>
      </c>
      <c r="M112" s="534">
        <v>2.46E-2</v>
      </c>
      <c r="N112" s="534">
        <v>1.8599999999999998E-2</v>
      </c>
      <c r="O112" s="534">
        <v>1.41E-2</v>
      </c>
      <c r="P112" s="534">
        <v>1.11E-2</v>
      </c>
      <c r="Q112" s="536">
        <v>8.6999999999999994E-3</v>
      </c>
      <c r="S112" s="300">
        <f t="shared" si="4"/>
        <v>3.3171428571428574E-2</v>
      </c>
      <c r="T112" s="524">
        <f>K112</f>
        <v>3.6600000000000001E-2</v>
      </c>
      <c r="U112" s="300">
        <f>M112</f>
        <v>2.46E-2</v>
      </c>
    </row>
    <row r="113" spans="1:21" s="548" customFormat="1" ht="15.75">
      <c r="A113" s="538" t="s">
        <v>1225</v>
      </c>
      <c r="B113" s="539" t="s">
        <v>1226</v>
      </c>
      <c r="C113" s="540">
        <f>IF(C4&lt;=15,K113,IF(AND(C4&gt;$K$98,C4&lt;=$L$98),FORECAST(C4,K113:L113,$K$98:$L$98),IF(AND(C4&gt;$L$98,C4&lt;=$M$98),FORECAST(C4,L113:M113,$L$98:$M$98),IF(AND(C4&gt;$M$98,C4&lt;=$N$98),FORECAST(C4,M113:N113,$M$98:$N$98),IF(AND(C4&gt;$N$98,C4&lt;=$O$98),FORECAST(C4,N113:O113,$N$98:$O$98),IF(AND(C4&gt;$O$98,C4&lt;=$P$98),FORECAST(C4,O113:P113,$O$98:$P$98),IF(AND(C4&gt;$P$98,C4&lt;=$Q$98),FORECAST(C4,P113:Q113,$P$98:$Q$98),0)))))))</f>
        <v>0.16500000000000001</v>
      </c>
      <c r="D113" s="541" t="str">
        <f>B4&amp;"/1.1*"&amp;ROUND(C113,3)&amp;"%"</f>
        <v>A/1.1*0,165%</v>
      </c>
      <c r="E113" s="542">
        <f>C4*10^9*ROUND(C113,3)/100</f>
        <v>0</v>
      </c>
      <c r="F113" s="543" t="s">
        <v>278</v>
      </c>
      <c r="G113" s="544"/>
      <c r="H113" s="544"/>
      <c r="I113" s="545"/>
      <c r="J113" s="545"/>
      <c r="K113" s="546">
        <v>0.16500000000000001</v>
      </c>
      <c r="L113" s="546">
        <v>0.1492857142857143</v>
      </c>
      <c r="M113" s="545">
        <v>0.11</v>
      </c>
      <c r="N113" s="545">
        <v>8.5000000000000006E-2</v>
      </c>
      <c r="O113" s="545">
        <v>6.5000000000000002E-2</v>
      </c>
      <c r="P113" s="545">
        <v>4.1000000000000002E-2</v>
      </c>
      <c r="Q113" s="547">
        <v>2.9000000000000001E-2</v>
      </c>
      <c r="S113" s="549">
        <f t="shared" si="4"/>
        <v>0.1492857142857143</v>
      </c>
      <c r="T113" s="550">
        <f t="shared" ref="T113:T122" si="5">K113</f>
        <v>0.16500000000000001</v>
      </c>
      <c r="U113" s="549">
        <f t="shared" ref="U113:U122" si="6">M113</f>
        <v>0.11</v>
      </c>
    </row>
    <row r="114" spans="1:21" s="548" customFormat="1" ht="15.75">
      <c r="A114" s="538" t="s">
        <v>1227</v>
      </c>
      <c r="B114" s="539" t="s">
        <v>1228</v>
      </c>
      <c r="C114" s="540">
        <f>IF(C5&lt;=15,K114,IF(AND(C5&gt;$K$98,C5&lt;=$L$98),FORECAST(C5,K114:L114,$K$98:$L$98),IF(AND(C5&gt;$L$98,C5&lt;=$M$98),FORECAST(C5,L114:M114,$L$98:$M$98),IF(AND(C5&gt;$M$98,C5&lt;=$N$98),FORECAST(C5,M114:N114,$M$98:$N$98),IF(AND(C5&gt;$N$98,C5&lt;=$O$98),FORECAST(C5,N114:O114,$N$98:$O$98),IF(AND(C5&gt;$O$98,C5&lt;=$P$98),FORECAST(C5,O114:P114,$O$98:$P$98),IF(AND(C5&gt;$P$98,C5&lt;=$Q$98),FORECAST(C5,P114:Q114,$P$98:$Q$98),0)))))))</f>
        <v>0.19</v>
      </c>
      <c r="D114" s="541" t="str">
        <f>B5&amp;"/1.1*"&amp;ROUND(C114,3)&amp;"%"</f>
        <v>B/1.1*0,19%</v>
      </c>
      <c r="E114" s="542">
        <f>C5*10^9*ROUND(C114,3)/100</f>
        <v>0</v>
      </c>
      <c r="F114" s="543" t="s">
        <v>278</v>
      </c>
      <c r="G114" s="544"/>
      <c r="H114" s="544"/>
      <c r="I114" s="545"/>
      <c r="J114" s="545"/>
      <c r="K114" s="546">
        <v>0.19</v>
      </c>
      <c r="L114" s="546">
        <v>0.17171428571428571</v>
      </c>
      <c r="M114" s="545">
        <v>0.126</v>
      </c>
      <c r="N114" s="545">
        <v>9.7000000000000003E-2</v>
      </c>
      <c r="O114" s="545">
        <v>7.4999999999999997E-2</v>
      </c>
      <c r="P114" s="545">
        <v>5.8000000000000003E-2</v>
      </c>
      <c r="Q114" s="547">
        <v>4.3999999999999997E-2</v>
      </c>
      <c r="S114" s="549">
        <f t="shared" si="4"/>
        <v>0.17171428571428571</v>
      </c>
      <c r="T114" s="550">
        <f t="shared" si="5"/>
        <v>0.19</v>
      </c>
      <c r="U114" s="549">
        <f t="shared" si="6"/>
        <v>0.126</v>
      </c>
    </row>
    <row r="115" spans="1:21" s="548" customFormat="1" ht="15.75">
      <c r="A115" s="538" t="s">
        <v>1229</v>
      </c>
      <c r="B115" s="539" t="s">
        <v>1278</v>
      </c>
      <c r="C115" s="540" t="e">
        <f>IF(C6&lt;=15,K115,IF(AND(C6&gt;$K$98,C6&lt;=$L$98),FORECAST(C6,K115:L115,$K$98:$L$98),IF(AND(C6&gt;$L$98,C6&lt;=$M$98),FORECAST(C6,L115:M115,$L$98:$M$98),IF(AND(C6&gt;$M$98,C6&lt;=$N$98),FORECAST(C6,M115:N115,$M$98:$N$98),IF(AND(C6&gt;$N$98,C6&lt;=$O$98),FORECAST(C6,N115:O115,$N$98:$O$98),IF(AND(C6&gt;$O$98,C6&lt;=$P$98),FORECAST(C6,O115:P115,$O$98:$P$98),IF(AND(C6&gt;$P$98,C6&lt;=$Q$98),FORECAST(C6,P115:Q115,$P$98:$Q$98),0)))))))</f>
        <v>#REF!</v>
      </c>
      <c r="D115" s="541" t="e">
        <f>B6&amp;"/1.1*"&amp;ROUND(C115,3)&amp;"%"</f>
        <v>#REF!</v>
      </c>
      <c r="E115" s="542" t="e">
        <f>C6*10^9*ROUND(C115,3)/100</f>
        <v>#REF!</v>
      </c>
      <c r="F115" s="543" t="s">
        <v>278</v>
      </c>
      <c r="G115" s="543"/>
      <c r="H115" s="551"/>
      <c r="I115" s="552"/>
      <c r="J115" s="552"/>
      <c r="K115" s="552">
        <v>0.109</v>
      </c>
      <c r="L115" s="546">
        <v>9.8428571428571435E-2</v>
      </c>
      <c r="M115" s="552">
        <v>7.1999999999999995E-2</v>
      </c>
      <c r="N115" s="552">
        <v>5.5E-2</v>
      </c>
      <c r="O115" s="552">
        <v>4.2999999999999997E-2</v>
      </c>
      <c r="P115" s="552">
        <v>3.3000000000000002E-2</v>
      </c>
      <c r="Q115" s="553">
        <v>2.5000000000000001E-2</v>
      </c>
      <c r="S115" s="549">
        <f t="shared" si="4"/>
        <v>9.8428571428571435E-2</v>
      </c>
      <c r="T115" s="550">
        <f t="shared" si="5"/>
        <v>0.109</v>
      </c>
      <c r="U115" s="549">
        <f t="shared" si="6"/>
        <v>7.1999999999999995E-2</v>
      </c>
    </row>
    <row r="116" spans="1:21" s="548" customFormat="1" ht="15.75">
      <c r="A116" s="538" t="s">
        <v>1230</v>
      </c>
      <c r="B116" s="539" t="s">
        <v>1231</v>
      </c>
      <c r="C116" s="540">
        <f>IF(C7&lt;=15,K116,IF(AND(C7&gt;$K$98,C7&lt;=$L$98),FORECAST(C7,K116:L116,$K$98:$L$98),IF(AND(C7&gt;$L$98,C7&lt;=$M$98),FORECAST(C7,L116:M116,$L$98:$M$98),IF(AND(C7&gt;$M$98,C7&lt;=$N$98),FORECAST(C7,M116:N116,$M$98:$N$98),IF(AND(C7&gt;$N$98,C7&lt;=$O$98),FORECAST(C7,N116:O116,$N$98:$O$98),IF(AND(C7&gt;$O$98,C7&lt;=$P$98),FORECAST(C7,O116:P116,$O$98:$P$98),IF(AND(C7&gt;$P$98,C7&lt;=$Q$98),FORECAST(C7,P116:Q116,$P$98:$Q$98),0)))))))</f>
        <v>0.121</v>
      </c>
      <c r="D116" s="541" t="e">
        <f>B7&amp;"/1.1*"&amp;ROUND(C116,3)&amp;"%"</f>
        <v>#REF!</v>
      </c>
      <c r="E116" s="542">
        <f>C7*10^9*ROUND(C116,3)/100</f>
        <v>0</v>
      </c>
      <c r="F116" s="543" t="s">
        <v>278</v>
      </c>
      <c r="G116" s="543"/>
      <c r="H116" s="551"/>
      <c r="I116" s="552"/>
      <c r="J116" s="552"/>
      <c r="K116" s="552">
        <v>0.121</v>
      </c>
      <c r="L116" s="546">
        <v>0.10928571428571429</v>
      </c>
      <c r="M116" s="552">
        <v>0.08</v>
      </c>
      <c r="N116" s="552">
        <v>6.0999999999999999E-2</v>
      </c>
      <c r="O116" s="552">
        <v>4.8000000000000001E-2</v>
      </c>
      <c r="P116" s="552">
        <v>3.6999999999999998E-2</v>
      </c>
      <c r="Q116" s="553">
        <v>2.8000000000000001E-2</v>
      </c>
      <c r="S116" s="549">
        <f t="shared" si="4"/>
        <v>0.10928571428571429</v>
      </c>
      <c r="T116" s="550">
        <f t="shared" si="5"/>
        <v>0.121</v>
      </c>
      <c r="U116" s="549">
        <f t="shared" si="6"/>
        <v>0.08</v>
      </c>
    </row>
    <row r="117" spans="1:21" s="548" customFormat="1" ht="15.75">
      <c r="A117" s="538" t="s">
        <v>1232</v>
      </c>
      <c r="B117" s="539" t="s">
        <v>1233</v>
      </c>
      <c r="C117" s="540">
        <f>IF(C8&lt;=15,K117,IF(AND(C8&gt;$K$98,C8&lt;=$L$98),FORECAST(C8,K117:L117,$K$98:$L$98),IF(AND(C8&gt;$L$98,C8&lt;=$M$98),FORECAST(C8,L117:M117,$L$98:$M$98),IF(AND(C8&gt;$M$98,C8&lt;=$N$98),FORECAST(C8,M117:N117,$M$98:$N$98),IF(AND(C8&gt;$N$98,C8&lt;=$O$98),FORECAST(C8,N117:O117,$N$98:$O$98),IF(AND(C8&gt;$O$98,C8&lt;=$P$98),FORECAST(C8,O117:P117,$O$98:$P$98),IF(AND(C8&gt;$P$98,C8&lt;=$Q$98),FORECAST(C8,P117:Q117,$P$98:$Q$98),0)))))))</f>
        <v>0.126</v>
      </c>
      <c r="D117" s="541" t="e">
        <f>B8&amp;"/1.1*"&amp;ROUND(C117,3)&amp;"%"</f>
        <v>#REF!</v>
      </c>
      <c r="E117" s="542">
        <f>C8*10^9*ROUND(C117,3)/100</f>
        <v>0</v>
      </c>
      <c r="F117" s="543" t="s">
        <v>278</v>
      </c>
      <c r="G117" s="543"/>
      <c r="H117" s="551"/>
      <c r="I117" s="552"/>
      <c r="J117" s="552"/>
      <c r="K117" s="552">
        <v>0.126</v>
      </c>
      <c r="L117" s="546">
        <v>0.1142857142857143</v>
      </c>
      <c r="M117" s="552">
        <v>8.5000000000000006E-2</v>
      </c>
      <c r="N117" s="552">
        <v>6.5000000000000002E-2</v>
      </c>
      <c r="O117" s="552">
        <v>0.05</v>
      </c>
      <c r="P117" s="552">
        <v>3.9E-2</v>
      </c>
      <c r="Q117" s="553">
        <v>0.03</v>
      </c>
      <c r="S117" s="549">
        <f t="shared" si="4"/>
        <v>0.1142857142857143</v>
      </c>
      <c r="T117" s="550">
        <f t="shared" si="5"/>
        <v>0.126</v>
      </c>
      <c r="U117" s="549">
        <f t="shared" si="6"/>
        <v>8.5000000000000006E-2</v>
      </c>
    </row>
    <row r="118" spans="1:21" s="562" customFormat="1" ht="15.75">
      <c r="A118" s="554" t="s">
        <v>1234</v>
      </c>
      <c r="B118" s="555" t="s">
        <v>1235</v>
      </c>
      <c r="C118" s="515">
        <f>IF(C4&lt;=15,K118,IF(AND(C4&gt;$K$98,C4&lt;=$L$98),FORECAST(C4,K118:L118,$K$98:$L$98),IF(AND(C4&gt;$L$98,C4&lt;=$M$98),FORECAST(C4,L118:M118,$L$98:$M$98),IF(AND(C4&gt;$M$98,C4&lt;=$N$98),FORECAST(C4,M118:N118,$M$98:$N$98),IF(AND(C4&gt;$N$98,C4&lt;=$O$98),FORECAST(C4,N118:O118,$N$98:$O$98),IF(AND(C4&gt;$O$98,C4&lt;=$P$98),FORECAST(C4,O118:P118,$O$98:$P$98),IF(AND(C4&gt;$P$98,C4&lt;=$Q$98),FORECAST(C4,P118:Q118,$P$98:$Q$98),0)))))))</f>
        <v>0.16</v>
      </c>
      <c r="D118" s="556" t="str">
        <f>B4&amp;"/1.1*"&amp;ROUND(C118,3)&amp;"%"</f>
        <v>A/1.1*0,16%</v>
      </c>
      <c r="E118" s="517">
        <f>C4*10^9*ROUND(C118,3)/100</f>
        <v>0</v>
      </c>
      <c r="F118" s="557" t="s">
        <v>278</v>
      </c>
      <c r="G118" s="557"/>
      <c r="H118" s="558"/>
      <c r="I118" s="559"/>
      <c r="J118" s="559"/>
      <c r="K118" s="559">
        <v>0.16</v>
      </c>
      <c r="L118" s="560">
        <v>0.14457142857142857</v>
      </c>
      <c r="M118" s="559">
        <v>0.106</v>
      </c>
      <c r="N118" s="559">
        <v>8.3000000000000004E-2</v>
      </c>
      <c r="O118" s="559">
        <v>6.2E-2</v>
      </c>
      <c r="P118" s="559">
        <v>4.5999999999999999E-2</v>
      </c>
      <c r="Q118" s="561">
        <v>3.7999999999999999E-2</v>
      </c>
      <c r="S118" s="523">
        <f t="shared" si="4"/>
        <v>0.14457142857142857</v>
      </c>
      <c r="T118" s="563">
        <f t="shared" si="5"/>
        <v>0.16</v>
      </c>
      <c r="U118" s="523">
        <f t="shared" si="6"/>
        <v>0.106</v>
      </c>
    </row>
    <row r="119" spans="1:21" s="562" customFormat="1" ht="15.75">
      <c r="A119" s="554" t="s">
        <v>1236</v>
      </c>
      <c r="B119" s="555" t="s">
        <v>1237</v>
      </c>
      <c r="C119" s="515">
        <f>IF(C5&lt;=15,K119,IF(AND(C5&gt;$K$98,C5&lt;=$L$98),FORECAST(C5,K119:L119,$K$98:$L$98),IF(AND(C5&gt;$L$98,C5&lt;=$M$98),FORECAST(C5,L119:M119,$L$98:$M$98),IF(AND(C5&gt;$M$98,C5&lt;=$N$98),FORECAST(C5,M119:N119,$M$98:$N$98),IF(AND(C5&gt;$N$98,C5&lt;=$O$98),FORECAST(C5,N119:O119,$N$98:$O$98),IF(AND(C5&gt;$O$98,C5&lt;=$P$98),FORECAST(C5,O119:P119,$O$98:$P$98),IF(AND(C5&gt;$P$98,C5&lt;=$Q$98),FORECAST(C5,P119:Q119,$P$98:$Q$98),0)))))))</f>
        <v>0.185</v>
      </c>
      <c r="D119" s="556" t="str">
        <f>B5&amp;"/1.1*"&amp;ROUND(C119,3)&amp;"%"</f>
        <v>B/1.1*0,185%</v>
      </c>
      <c r="E119" s="517">
        <f>C5*10^9*ROUND(C119,3)/100</f>
        <v>0</v>
      </c>
      <c r="F119" s="557" t="s">
        <v>278</v>
      </c>
      <c r="G119" s="557"/>
      <c r="H119" s="558"/>
      <c r="I119" s="559"/>
      <c r="J119" s="559"/>
      <c r="K119" s="559">
        <v>0.185</v>
      </c>
      <c r="L119" s="560">
        <v>0.1667142857142857</v>
      </c>
      <c r="M119" s="559">
        <v>0.121</v>
      </c>
      <c r="N119" s="559">
        <v>9.4E-2</v>
      </c>
      <c r="O119" s="559">
        <v>7.1999999999999995E-2</v>
      </c>
      <c r="P119" s="559">
        <v>5.5E-2</v>
      </c>
      <c r="Q119" s="561">
        <v>4.1000000000000002E-2</v>
      </c>
      <c r="S119" s="523">
        <f t="shared" si="4"/>
        <v>0.1667142857142857</v>
      </c>
      <c r="T119" s="563">
        <f t="shared" si="5"/>
        <v>0.185</v>
      </c>
      <c r="U119" s="523">
        <f t="shared" si="6"/>
        <v>0.121</v>
      </c>
    </row>
    <row r="120" spans="1:21" s="562" customFormat="1" ht="15.75">
      <c r="A120" s="554" t="s">
        <v>1238</v>
      </c>
      <c r="B120" s="555" t="s">
        <v>1279</v>
      </c>
      <c r="C120" s="515" t="e">
        <f>IF(C6&lt;=15,K120,IF(AND(C6&gt;$K$98,C6&lt;=$L$98),FORECAST(C6,K120:L120,$K$98:$L$98),IF(AND(C6&gt;$L$98,C6&lt;=$M$98),FORECAST(C6,L120:M120,$L$98:$M$98),IF(AND(C6&gt;$M$98,C6&lt;=$N$98),FORECAST(C6,M120:N120,$M$98:$N$98),IF(AND(C6&gt;$N$98,C6&lt;=$O$98),FORECAST(C6,N120:O120,$N$98:$O$98),IF(AND(C6&gt;$O$98,C6&lt;=$P$98),FORECAST(C6,O120:P120,$O$98:$P$98),IF(AND(C6&gt;$P$98,C6&lt;=$Q$98),FORECAST(C6,P120:Q120,$P$98:$Q$98),0)))))))</f>
        <v>#REF!</v>
      </c>
      <c r="D120" s="556" t="e">
        <f>B6&amp;"/1.1*"&amp;ROUND(C120,3)&amp;"%"</f>
        <v>#REF!</v>
      </c>
      <c r="E120" s="517" t="e">
        <f>C6*10^9*ROUND(C120,3)/100</f>
        <v>#REF!</v>
      </c>
      <c r="F120" s="557" t="s">
        <v>278</v>
      </c>
      <c r="G120" s="557"/>
      <c r="H120" s="558"/>
      <c r="I120" s="559"/>
      <c r="J120" s="559"/>
      <c r="K120" s="559">
        <v>0.106</v>
      </c>
      <c r="L120" s="560">
        <v>9.514285714285714E-2</v>
      </c>
      <c r="M120" s="559">
        <v>6.8000000000000005E-2</v>
      </c>
      <c r="N120" s="559">
        <v>5.3999999999999999E-2</v>
      </c>
      <c r="O120" s="559">
        <v>4.1000000000000002E-2</v>
      </c>
      <c r="P120" s="559">
        <v>3.1E-2</v>
      </c>
      <c r="Q120" s="561">
        <v>2.4E-2</v>
      </c>
      <c r="R120" s="564"/>
      <c r="S120" s="523">
        <f t="shared" si="4"/>
        <v>9.514285714285714E-2</v>
      </c>
      <c r="T120" s="563">
        <f t="shared" si="5"/>
        <v>0.106</v>
      </c>
      <c r="U120" s="523">
        <f t="shared" si="6"/>
        <v>6.8000000000000005E-2</v>
      </c>
    </row>
    <row r="121" spans="1:21" s="562" customFormat="1" ht="15.75">
      <c r="A121" s="554" t="s">
        <v>1239</v>
      </c>
      <c r="B121" s="555" t="s">
        <v>1240</v>
      </c>
      <c r="C121" s="515">
        <f>IF(C7&lt;=15,K121,IF(AND(C7&gt;$K$98,C7&lt;=$L$98),FORECAST(C7,K121:L121,$K$98:$L$98),IF(AND(C7&gt;$L$98,C7&lt;=$M$98),FORECAST(C7,L121:M121,$L$98:$M$98),IF(AND(C7&gt;$M$98,C7&lt;=$N$98),FORECAST(C7,M121:N121,$M$98:$N$98),IF(AND(C7&gt;$N$98,C7&lt;=$O$98),FORECAST(C7,N121:O121,$N$98:$O$98),IF(AND(C7&gt;$O$98,C7&lt;=$P$98),FORECAST(C7,O121:P121,$O$98:$P$98),IF(AND(C7&gt;$P$98,C7&lt;=$Q$98),FORECAST(C7,P121:Q121,$P$98:$Q$98),0)))))))</f>
        <v>0.11700000000000001</v>
      </c>
      <c r="D121" s="556" t="e">
        <f>B7&amp;"/1.1*"&amp;ROUND(C121,3)&amp;"%"</f>
        <v>#REF!</v>
      </c>
      <c r="E121" s="517">
        <f>C7*10^9*ROUND(C121,3)/100</f>
        <v>0</v>
      </c>
      <c r="F121" s="557" t="s">
        <v>278</v>
      </c>
      <c r="G121" s="565"/>
      <c r="H121" s="565"/>
      <c r="I121" s="566"/>
      <c r="J121" s="566"/>
      <c r="K121" s="560">
        <v>0.11700000000000001</v>
      </c>
      <c r="L121" s="560">
        <v>0.1052857142857143</v>
      </c>
      <c r="M121" s="566">
        <v>7.5999999999999998E-2</v>
      </c>
      <c r="N121" s="566">
        <v>0.06</v>
      </c>
      <c r="O121" s="566">
        <v>4.5999999999999999E-2</v>
      </c>
      <c r="P121" s="566">
        <v>3.5000000000000003E-2</v>
      </c>
      <c r="Q121" s="567">
        <v>2.5999999999999999E-2</v>
      </c>
      <c r="R121" s="564"/>
      <c r="S121" s="523">
        <f t="shared" si="4"/>
        <v>0.1052857142857143</v>
      </c>
      <c r="T121" s="563">
        <f t="shared" si="5"/>
        <v>0.11700000000000001</v>
      </c>
      <c r="U121" s="523">
        <f t="shared" si="6"/>
        <v>7.5999999999999998E-2</v>
      </c>
    </row>
    <row r="122" spans="1:21" s="562" customFormat="1" ht="15.75">
      <c r="A122" s="554" t="s">
        <v>1241</v>
      </c>
      <c r="B122" s="555" t="s">
        <v>1242</v>
      </c>
      <c r="C122" s="515">
        <f>IF(C8&lt;=15,K122,IF(AND(C8&gt;$K$98,C8&lt;=$L$98),FORECAST(C8,K122:L122,$K$98:$L$98),IF(AND(C8&gt;$L$98,C8&lt;=$M$98),FORECAST(C8,L122:M122,$L$98:$M$98),IF(AND(C8&gt;$M$98,C8&lt;=$N$98),FORECAST(C8,M122:N122,$M$98:$N$98),IF(AND(C8&gt;$N$98,C8&lt;=$O$98),FORECAST(C8,N122:O122,$N$98:$O$98),IF(AND(C8&gt;$O$98,C8&lt;=$P$98),FORECAST(C8,O122:P122,$O$98:$P$98),IF(AND(C8&gt;$P$98,C8&lt;=$Q$98),FORECAST(C8,P122:Q122,$P$98:$Q$98),0)))))))</f>
        <v>0.122</v>
      </c>
      <c r="D122" s="556" t="e">
        <f>B8&amp;"/1.1*"&amp;ROUND(C122,3)&amp;"%"</f>
        <v>#REF!</v>
      </c>
      <c r="E122" s="517">
        <f>C8*10^9*ROUND(C122,3)/100</f>
        <v>0</v>
      </c>
      <c r="F122" s="557" t="s">
        <v>278</v>
      </c>
      <c r="G122" s="565"/>
      <c r="H122" s="565"/>
      <c r="I122" s="566"/>
      <c r="J122" s="566"/>
      <c r="K122" s="560">
        <v>0.122</v>
      </c>
      <c r="L122" s="560">
        <v>0.11057142857142858</v>
      </c>
      <c r="M122" s="566">
        <v>8.2000000000000003E-2</v>
      </c>
      <c r="N122" s="566">
        <v>6.2E-2</v>
      </c>
      <c r="O122" s="566">
        <v>4.7E-2</v>
      </c>
      <c r="P122" s="566">
        <v>3.6999999999999998E-2</v>
      </c>
      <c r="Q122" s="567">
        <v>2.9000000000000001E-2</v>
      </c>
      <c r="S122" s="523">
        <f t="shared" si="4"/>
        <v>0.11057142857142858</v>
      </c>
      <c r="T122" s="563">
        <f t="shared" si="5"/>
        <v>0.122</v>
      </c>
      <c r="U122" s="523">
        <f t="shared" si="6"/>
        <v>8.2000000000000003E-2</v>
      </c>
    </row>
    <row r="123" spans="1:21" s="577" customFormat="1" ht="15" customHeight="1">
      <c r="A123" s="568" t="s">
        <v>1243</v>
      </c>
      <c r="B123" s="569" t="s">
        <v>1244</v>
      </c>
      <c r="C123" s="570">
        <v>0.2</v>
      </c>
      <c r="D123" s="571" t="str">
        <f>$B$4&amp;"/1.1*"&amp;ROUND(C123,3)&amp;"%"</f>
        <v>A/1.1*0,2%</v>
      </c>
      <c r="E123" s="572">
        <f>C4*10^9*ROUND(C123,3)/100</f>
        <v>0</v>
      </c>
      <c r="F123" s="573" t="s">
        <v>265</v>
      </c>
      <c r="G123" s="573"/>
      <c r="H123" s="574"/>
      <c r="I123" s="574"/>
      <c r="J123" s="575"/>
      <c r="K123" s="575"/>
      <c r="L123" s="575"/>
      <c r="M123" s="575"/>
      <c r="N123" s="575"/>
      <c r="O123" s="575"/>
      <c r="P123" s="575"/>
      <c r="Q123" s="576"/>
    </row>
    <row r="124" spans="1:21" s="577" customFormat="1" ht="15" customHeight="1">
      <c r="A124" s="568" t="s">
        <v>1245</v>
      </c>
      <c r="B124" s="569" t="s">
        <v>1246</v>
      </c>
      <c r="C124" s="570">
        <v>0.22</v>
      </c>
      <c r="D124" s="571" t="str">
        <f>$B$5&amp;"/1.1*"&amp;ROUND(C124,3)&amp;"%"</f>
        <v>B/1.1*0,22%</v>
      </c>
      <c r="E124" s="572">
        <f>C5*10^9*ROUND(C124,3)/100</f>
        <v>0</v>
      </c>
      <c r="F124" s="573" t="s">
        <v>265</v>
      </c>
      <c r="G124" s="573"/>
      <c r="H124" s="574"/>
      <c r="I124" s="574"/>
      <c r="J124" s="575"/>
      <c r="K124" s="575"/>
      <c r="L124" s="575"/>
      <c r="M124" s="575"/>
      <c r="N124" s="575"/>
      <c r="O124" s="575"/>
      <c r="P124" s="575"/>
      <c r="Q124" s="576"/>
    </row>
    <row r="125" spans="1:21" s="577" customFormat="1" ht="15" customHeight="1">
      <c r="A125" s="568" t="s">
        <v>1247</v>
      </c>
      <c r="B125" s="569" t="s">
        <v>266</v>
      </c>
      <c r="C125" s="570">
        <v>0.28000000000000003</v>
      </c>
      <c r="D125" s="571" t="str">
        <f>$B$6&amp;"/1.1*"&amp;ROUND(C125,3)&amp;"%"</f>
        <v>XL/1.1*0,28%</v>
      </c>
      <c r="E125" s="572" t="e">
        <f>C6*10^9*ROUND(C125,3)/100</f>
        <v>#REF!</v>
      </c>
      <c r="F125" s="573" t="s">
        <v>265</v>
      </c>
      <c r="G125" s="573"/>
      <c r="H125" s="574"/>
      <c r="I125" s="574"/>
      <c r="J125" s="575"/>
      <c r="K125" s="575"/>
      <c r="L125" s="575"/>
      <c r="M125" s="575"/>
      <c r="N125" s="575"/>
      <c r="O125" s="575"/>
      <c r="P125" s="575"/>
      <c r="Q125" s="576"/>
    </row>
    <row r="126" spans="1:21" s="577" customFormat="1" ht="15" customHeight="1">
      <c r="A126" s="568" t="s">
        <v>1248</v>
      </c>
      <c r="B126" s="569" t="s">
        <v>1249</v>
      </c>
      <c r="C126" s="570">
        <v>0.28000000000000003</v>
      </c>
      <c r="D126" s="571" t="e">
        <f>$B$7&amp;"/1.1*"&amp;ROUND(C126,3)&amp;"%"</f>
        <v>#REF!</v>
      </c>
      <c r="E126" s="572">
        <f>C7*10^9*ROUND(C126,3)/100</f>
        <v>0</v>
      </c>
      <c r="F126" s="573" t="s">
        <v>265</v>
      </c>
      <c r="G126" s="573"/>
      <c r="H126" s="574"/>
      <c r="I126" s="574"/>
      <c r="J126" s="575"/>
      <c r="K126" s="575"/>
      <c r="L126" s="575"/>
      <c r="M126" s="575"/>
      <c r="N126" s="575"/>
      <c r="O126" s="575"/>
      <c r="P126" s="575"/>
      <c r="Q126" s="576"/>
    </row>
    <row r="127" spans="1:21" s="581" customFormat="1" ht="15" customHeight="1">
      <c r="A127" s="568" t="s">
        <v>1250</v>
      </c>
      <c r="B127" s="569" t="s">
        <v>264</v>
      </c>
      <c r="C127" s="578">
        <v>0.215</v>
      </c>
      <c r="D127" s="571" t="e">
        <f>B8&amp;"/1.1*"&amp;ROUND(C127,3)&amp;"%"</f>
        <v>#REF!</v>
      </c>
      <c r="E127" s="572">
        <f>C8*10^9*ROUND(C127,3)/100</f>
        <v>0</v>
      </c>
      <c r="F127" s="573" t="s">
        <v>265</v>
      </c>
      <c r="G127" s="573"/>
      <c r="H127" s="573"/>
      <c r="I127" s="573"/>
      <c r="J127" s="579"/>
      <c r="K127" s="579"/>
      <c r="L127" s="579"/>
      <c r="M127" s="579"/>
      <c r="N127" s="579"/>
      <c r="O127" s="579"/>
      <c r="P127" s="579"/>
      <c r="Q127" s="580"/>
    </row>
    <row r="128" spans="1:21" s="586" customFormat="1" ht="15" customHeight="1">
      <c r="A128" s="507" t="s">
        <v>1251</v>
      </c>
      <c r="B128" s="508" t="s">
        <v>267</v>
      </c>
      <c r="C128" s="582">
        <v>0.1</v>
      </c>
      <c r="D128" s="500" t="e">
        <f>IF(xl/1.1*ROUND(C128,3)/100&lt;=10^6,"Tèi thiÓu",IF(xl/1.1*ROUND(C128,3)/100&gt;=5*10^7,"Tèi ®a",$B$3&amp;"/1.1*"&amp;ROUND(C128,3)&amp;"%"))</f>
        <v>#REF!</v>
      </c>
      <c r="E128" s="501" t="e">
        <f>IF(xl/1.1*ROUND(C128,3)/100&lt;=10^6,10^6,IF(xl/1.1*ROUND(C128,3)/100&gt;=5*10^7,5*10^7,xl/1.1*ROUND(C128,3)/100))</f>
        <v>#REF!</v>
      </c>
      <c r="F128" s="430" t="s">
        <v>268</v>
      </c>
      <c r="G128" s="430"/>
      <c r="H128" s="583"/>
      <c r="I128" s="583"/>
      <c r="J128" s="584"/>
      <c r="K128" s="584"/>
      <c r="L128" s="584"/>
      <c r="M128" s="584"/>
      <c r="N128" s="584"/>
      <c r="O128" s="584"/>
      <c r="P128" s="584"/>
      <c r="Q128" s="585"/>
    </row>
    <row r="129" spans="1:17" s="586" customFormat="1" ht="15.75" customHeight="1">
      <c r="A129" s="507" t="s">
        <v>1252</v>
      </c>
      <c r="B129" s="508" t="s">
        <v>269</v>
      </c>
      <c r="C129" s="582">
        <v>0.05</v>
      </c>
      <c r="D129" s="500" t="e">
        <f>IF(xl/1.1*ROUND(C129,3)/100&lt;=10^6,"Tèi thiÓu",IF(xl/1.1*ROUND(C129,3)/100&gt;=5*10^7,"Tèi ®a",$B$3&amp;"/1.1*"&amp;ROUND(C129,3)&amp;"%"))</f>
        <v>#REF!</v>
      </c>
      <c r="E129" s="501" t="e">
        <f>IF(xl/1.1*ROUND(C129,3)/100&lt;=10^6,10^6,IF(xl/1.1*ROUND(C129,3)/100&gt;=5*10^7,5*10^7,xl/1.1*ROUND(C129,3)/100))</f>
        <v>#REF!</v>
      </c>
      <c r="F129" s="430" t="s">
        <v>268</v>
      </c>
      <c r="G129" s="583"/>
      <c r="H129" s="583"/>
      <c r="I129" s="583"/>
      <c r="J129" s="584"/>
      <c r="K129" s="584"/>
      <c r="L129" s="584"/>
      <c r="M129" s="584"/>
      <c r="N129" s="584"/>
      <c r="O129" s="584"/>
      <c r="P129" s="584"/>
      <c r="Q129" s="585"/>
    </row>
    <row r="130" spans="1:17" s="586" customFormat="1" ht="15.75">
      <c r="A130" s="507" t="s">
        <v>1253</v>
      </c>
      <c r="B130" s="508" t="s">
        <v>275</v>
      </c>
      <c r="C130" s="587">
        <v>0.1</v>
      </c>
      <c r="D130" s="500" t="e">
        <f>IF(xl/1.1*ROUND(C130,3)/100&lt;=10^6,"Tèi thiÓu",IF(xl/1.1*ROUND(C130,3)/100&gt;=5*10^7,"Tèi ®a",$B$3&amp;"/1.1*"&amp;ROUND(C130,3)&amp;"%"))</f>
        <v>#REF!</v>
      </c>
      <c r="E130" s="501" t="e">
        <f>IF(xl/1.1*ROUND(C130,3)/100&lt;=10^6,10^6,IF(xl/1.1*ROUND(C130,3)/100&gt;=5*10^7,5*10^7,xl/1.1*ROUND(C130,3)/100))</f>
        <v>#REF!</v>
      </c>
      <c r="F130" s="583" t="s">
        <v>270</v>
      </c>
      <c r="G130" s="588"/>
      <c r="H130" s="588"/>
      <c r="I130" s="588"/>
      <c r="J130" s="588"/>
      <c r="K130" s="589"/>
      <c r="L130" s="589"/>
      <c r="M130" s="588"/>
      <c r="N130" s="588"/>
      <c r="O130" s="588"/>
      <c r="P130" s="588"/>
      <c r="Q130" s="590"/>
    </row>
    <row r="131" spans="1:17" s="586" customFormat="1" ht="15.75">
      <c r="A131" s="507" t="s">
        <v>1254</v>
      </c>
      <c r="B131" s="508" t="s">
        <v>273</v>
      </c>
      <c r="C131" s="587">
        <v>0.05</v>
      </c>
      <c r="D131" s="500" t="e">
        <f>IF(xl/1.1*ROUND(C131,3)/100&lt;=10^6,"Tèi thiÓu",IF(xl/1.1*ROUND(C131,3)/100&gt;=3*10^7,"Tèi ®a",$B$3&amp;"/1.1*"&amp;ROUND(C131,3)&amp;"%"))</f>
        <v>#REF!</v>
      </c>
      <c r="E131" s="501" t="e">
        <f>IF(xl/1.1*ROUND(C131,3)/100&lt;=10^6,10^6,IF(xl/1.1*ROUND(C131,3)/100&gt;=5*10^7,3*10^7,xl/1.1*ROUND(C131,3)/100))</f>
        <v>#REF!</v>
      </c>
      <c r="F131" s="430" t="s">
        <v>268</v>
      </c>
      <c r="G131" s="588"/>
      <c r="H131" s="588"/>
      <c r="I131" s="588"/>
      <c r="J131" s="588"/>
      <c r="K131" s="589"/>
      <c r="L131" s="589"/>
      <c r="M131" s="588"/>
      <c r="N131" s="588"/>
      <c r="O131" s="588"/>
      <c r="P131" s="588"/>
      <c r="Q131" s="590"/>
    </row>
    <row r="132" spans="1:17" s="586" customFormat="1" ht="15.75">
      <c r="A132" s="507" t="s">
        <v>1255</v>
      </c>
      <c r="B132" s="508" t="s">
        <v>1256</v>
      </c>
      <c r="C132" s="587">
        <v>0.03</v>
      </c>
      <c r="D132" s="500" t="e">
        <f>IF(xl/1.1*ROUND(C132,3)/100&lt;=10^6,"Tèi thiÓu",IF(xl/1.1*ROUND(C132,3)/100&gt;=3*10^7,"Tèi ®a",$B$3&amp;"/1.1*"&amp;ROUND(C132,3)&amp;"%"))</f>
        <v>#REF!</v>
      </c>
      <c r="E132" s="501" t="e">
        <f>IF(xl/1.1*ROUND(C132,3)/100&lt;=10^6,10^6,IF(xl/1.1*ROUND(C132,3)/100&gt;=5*10^7,3*10^7,xl/1.1*ROUND(C132,3)/100))</f>
        <v>#REF!</v>
      </c>
      <c r="F132" s="430" t="s">
        <v>268</v>
      </c>
      <c r="G132" s="588"/>
      <c r="H132" s="588"/>
      <c r="I132" s="588"/>
      <c r="J132" s="588"/>
      <c r="K132" s="589"/>
      <c r="L132" s="589"/>
      <c r="M132" s="588"/>
      <c r="N132" s="588"/>
      <c r="O132" s="588"/>
      <c r="P132" s="588"/>
      <c r="Q132" s="590"/>
    </row>
    <row r="133" spans="1:17" s="586" customFormat="1" ht="15.75">
      <c r="A133" s="507" t="s">
        <v>1257</v>
      </c>
      <c r="B133" s="508" t="s">
        <v>274</v>
      </c>
      <c r="C133" s="587">
        <v>0.05</v>
      </c>
      <c r="D133" s="500" t="e">
        <f>IF(xl/1.1*ROUND(C133,3)/100&lt;=10^6,"Tèi thiÓu",IF(xl/1.1*ROUND(C133,3)/100&gt;=3*10^7,"Tèi ®a",$B$3&amp;"/1.1*"&amp;ROUND(C133,3)&amp;"%"))</f>
        <v>#REF!</v>
      </c>
      <c r="E133" s="501" t="e">
        <f>IF(xl/1.1*ROUND(C133,3)/100&lt;=10^6,10^6,IF(xl/1.1*ROUND(C133,3)/100&gt;=5*10^7,3*10^7,xl/1.1*ROUND(C133,3)/100))</f>
        <v>#REF!</v>
      </c>
      <c r="F133" s="583" t="s">
        <v>270</v>
      </c>
      <c r="G133" s="588"/>
      <c r="H133" s="588"/>
      <c r="I133" s="588"/>
      <c r="J133" s="588"/>
      <c r="K133" s="589"/>
      <c r="L133" s="589"/>
      <c r="M133" s="588"/>
      <c r="N133" s="588"/>
      <c r="O133" s="588"/>
      <c r="P133" s="588"/>
      <c r="Q133" s="590"/>
    </row>
    <row r="134" spans="1:17" s="586" customFormat="1" ht="15" customHeight="1">
      <c r="A134" s="507" t="s">
        <v>1258</v>
      </c>
      <c r="B134" s="508" t="s">
        <v>271</v>
      </c>
      <c r="C134" s="582">
        <v>0.05</v>
      </c>
      <c r="D134" s="500" t="e">
        <f>IF(xl/1.1*ROUND(C134,3)/100&lt;=10^6,"Tèi thiÓu",IF(xl/1.1*ROUND(C134,3)/100&gt;=5*10^7,"Tèi ®a",$B$3&amp;"/1.1*"&amp;ROUND(C134,3)&amp;"%"))</f>
        <v>#REF!</v>
      </c>
      <c r="E134" s="501" t="e">
        <f>IF(xl/1.1*ROUND(C134,3)/100&lt;=10^6,10^6,IF(xl/1.1*ROUND(C134,3)/100&gt;=5*10^7,5*10^7,xl/1.1*ROUND(C134,3)/100))</f>
        <v>#REF!</v>
      </c>
      <c r="F134" s="583" t="s">
        <v>270</v>
      </c>
      <c r="G134" s="583"/>
      <c r="H134" s="583"/>
      <c r="I134" s="583"/>
      <c r="J134" s="583"/>
      <c r="K134" s="327"/>
      <c r="L134" s="327"/>
      <c r="M134" s="583"/>
      <c r="N134" s="583"/>
      <c r="O134" s="583"/>
      <c r="P134" s="583"/>
      <c r="Q134" s="591"/>
    </row>
    <row r="135" spans="1:17" s="586" customFormat="1" ht="15.75">
      <c r="A135" s="507" t="s">
        <v>1259</v>
      </c>
      <c r="B135" s="508" t="s">
        <v>272</v>
      </c>
      <c r="C135" s="587">
        <v>0.02</v>
      </c>
      <c r="D135" s="500" t="e">
        <f>IF(xl/1.1*ROUND(C135,3)/100&lt;=10^6,"Tèi thiÓu",IF(xl/1.1*ROUND(C135,3)/100&gt;=5*10^7,"Tèi ®a",$B$3&amp;"/1.1*"&amp;ROUND(C135,3)&amp;"%"))</f>
        <v>#REF!</v>
      </c>
      <c r="E135" s="501" t="e">
        <f>IF(xl/1.1*ROUND(C135,3)/100&lt;=10^6,10^6,IF(xl/1.1*ROUND(C135,3)/100&gt;=5*10^7,5*10^7,xl/1.1*ROUND(C135,3)/100))</f>
        <v>#REF!</v>
      </c>
      <c r="F135" s="583" t="s">
        <v>270</v>
      </c>
      <c r="G135" s="588"/>
      <c r="H135" s="588"/>
      <c r="I135" s="588"/>
      <c r="J135" s="588"/>
      <c r="K135" s="589"/>
      <c r="L135" s="589"/>
      <c r="M135" s="588"/>
      <c r="N135" s="588"/>
      <c r="O135" s="588"/>
      <c r="P135" s="588"/>
      <c r="Q135" s="590"/>
    </row>
    <row r="136" spans="1:17" s="586" customFormat="1" ht="15.75">
      <c r="A136" s="507" t="s">
        <v>1260</v>
      </c>
      <c r="B136" s="426" t="s">
        <v>1660</v>
      </c>
      <c r="C136" s="587"/>
      <c r="D136" s="500" t="s">
        <v>276</v>
      </c>
      <c r="E136" s="592" t="e">
        <f>BDGT!K16</f>
        <v>#REF!</v>
      </c>
      <c r="F136" s="588" t="s">
        <v>277</v>
      </c>
      <c r="G136" s="588"/>
      <c r="H136" s="588"/>
      <c r="I136" s="588"/>
      <c r="J136" s="588"/>
      <c r="K136" s="589"/>
      <c r="L136" s="589"/>
      <c r="M136" s="588"/>
      <c r="N136" s="588"/>
      <c r="O136" s="588"/>
      <c r="P136" s="588"/>
      <c r="Q136" s="590"/>
    </row>
    <row r="137" spans="1:17" s="586" customFormat="1" ht="15.75">
      <c r="A137" s="593"/>
      <c r="B137" s="422"/>
      <c r="C137" s="594"/>
      <c r="D137" s="595"/>
      <c r="E137" s="596"/>
      <c r="F137" s="588"/>
      <c r="G137" s="588"/>
      <c r="H137" s="588"/>
      <c r="I137" s="588"/>
      <c r="J137" s="588"/>
      <c r="K137" s="589"/>
      <c r="L137" s="589"/>
      <c r="M137" s="588"/>
      <c r="N137" s="588"/>
      <c r="O137" s="588"/>
      <c r="P137" s="588"/>
      <c r="Q137" s="590"/>
    </row>
    <row r="138" spans="1:17" s="586" customFormat="1" ht="16.5" customHeight="1" thickBot="1">
      <c r="A138" s="597"/>
      <c r="B138" s="598"/>
      <c r="C138" s="598"/>
      <c r="D138" s="598"/>
      <c r="E138" s="598"/>
      <c r="F138" s="598"/>
      <c r="G138" s="598"/>
      <c r="H138" s="598"/>
      <c r="I138" s="598"/>
      <c r="J138" s="598"/>
      <c r="K138" s="438"/>
      <c r="L138" s="439"/>
      <c r="M138" s="598"/>
      <c r="N138" s="598"/>
      <c r="O138" s="598"/>
      <c r="P138" s="598"/>
      <c r="Q138" s="599"/>
    </row>
    <row r="139" spans="1:17" s="586" customFormat="1">
      <c r="A139" s="600"/>
      <c r="K139" s="601"/>
    </row>
    <row r="143" spans="1:17" s="586" customFormat="1">
      <c r="A143" s="600"/>
    </row>
    <row r="144" spans="1:17" s="586" customFormat="1">
      <c r="A144" s="600"/>
    </row>
    <row r="145" spans="1:1" s="586" customFormat="1">
      <c r="A145" s="600"/>
    </row>
    <row r="146" spans="1:1" s="586" customFormat="1">
      <c r="A146" s="600"/>
    </row>
    <row r="147" spans="1:1" s="586" customFormat="1">
      <c r="A147" s="600"/>
    </row>
    <row r="148" spans="1:1" s="586" customFormat="1">
      <c r="A148" s="600"/>
    </row>
    <row r="153" spans="1:1" s="603" customFormat="1">
      <c r="A153" s="602"/>
    </row>
    <row r="158" spans="1:1" ht="3.75" customHeight="1"/>
    <row r="159" spans="1:1" ht="17.25" customHeight="1"/>
    <row r="160" spans="1:1" ht="17.25" customHeight="1"/>
    <row r="161" ht="17.25" customHeight="1"/>
    <row r="165" ht="24.75" customHeight="1"/>
  </sheetData>
  <sheetProtection formatCells="0" formatColumns="0" formatRows="0" insertColumns="0" insertRows="0" insertHyperlinks="0" sort="0" autoFilter="0" pivotTables="0"/>
  <mergeCells count="20">
    <mergeCell ref="C97:C98"/>
    <mergeCell ref="D97:D98"/>
    <mergeCell ref="E97:E98"/>
    <mergeCell ref="G97:Q97"/>
    <mergeCell ref="A97:A98"/>
    <mergeCell ref="B97:B98"/>
    <mergeCell ref="G10:Q10"/>
    <mergeCell ref="A86:A87"/>
    <mergeCell ref="B86:B87"/>
    <mergeCell ref="C86:C87"/>
    <mergeCell ref="D86:D87"/>
    <mergeCell ref="E86:E87"/>
    <mergeCell ref="F86:F87"/>
    <mergeCell ref="H86:Q86"/>
    <mergeCell ref="A10:A11"/>
    <mergeCell ref="B10:B11"/>
    <mergeCell ref="C10:C11"/>
    <mergeCell ref="D10:D11"/>
    <mergeCell ref="E10:E11"/>
    <mergeCell ref="F10:F11"/>
  </mergeCells>
  <pageMargins left="0.75" right="0.75" top="1" bottom="1" header="0.5" footer="0.5"/>
  <pageSetup paperSize="9" orientation="portrait" verticalDpi="0" r:id="rId1"/>
  <headerFooter alignWithMargins="0"/>
  <legacy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9AB98-AACB-407C-B421-904E8D6C61E7}">
  <dimension ref="A1"/>
  <sheetViews>
    <sheetView workbookViewId="0"/>
  </sheetViews>
  <sheetFormatPr defaultRowHeight="15"/>
  <sheetData/>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E39AC-60DD-4E70-87E6-96BBDF2A6BD2}">
  <dimension ref="A1"/>
  <sheetViews>
    <sheetView workbookViewId="0"/>
  </sheetViews>
  <sheetFormatPr defaultRowHeight="15"/>
  <sheetData/>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E9E17-4F24-40B2-892B-F95008C39F76}">
  <dimension ref="A1"/>
  <sheetViews>
    <sheetView workbookViewId="0"/>
  </sheetViews>
  <sheetFormatPr defaultRowHeight="15"/>
  <sheetData/>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BAEC4-6515-4AD7-B06D-47243B5E6947}">
  <dimension ref="A1"/>
  <sheetViews>
    <sheetView workbookViewId="0"/>
  </sheetViews>
  <sheetFormatPr defaultRowHeight="15"/>
  <sheetData/>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ED6D-0ECD-4052-80BA-E9B77EF4E05E}">
  <dimension ref="A1"/>
  <sheetViews>
    <sheetView workbookViewId="0"/>
  </sheetViews>
  <sheetFormatPr defaultRowHeight="15"/>
  <sheetData/>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7D998-B41E-48B7-A6CE-0A8AAF803F6C}">
  <dimension ref="A1"/>
  <sheetViews>
    <sheetView workbookViewId="0"/>
  </sheetViews>
  <sheetFormatPr defaultRowHeight="15"/>
  <sheetData/>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6826A-DE1C-4A88-8FD3-2E932559E019}">
  <dimension ref="A1"/>
  <sheetViews>
    <sheetView workbookViewId="0"/>
  </sheetViews>
  <sheetFormatPr defaultRowHeight="15"/>
  <sheetData/>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6CD2E-CCC4-41B2-B31C-486B1025B780}">
  <dimension ref="A1"/>
  <sheetViews>
    <sheetView workbookViewId="0"/>
  </sheetViews>
  <sheetFormatPr defaultRowHeight="15"/>
  <sheetData/>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7C4FE-53F1-4A20-A38A-C42C0AD0476C}">
  <dimension ref="A1"/>
  <sheetViews>
    <sheetView workbookViewId="0"/>
  </sheetViews>
  <sheetFormatPr defaultRowHeight="15"/>
  <sheetData/>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28E40-611C-4E69-BE30-461F75FDA529}">
  <dimension ref="A1"/>
  <sheetViews>
    <sheetView workbookViewId="0"/>
  </sheetViews>
  <sheetFormatPr defaultRowHeight="15"/>
  <sheetData/>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BB744-80C3-497B-8759-06223871715C}">
  <dimension ref="A1"/>
  <sheetViews>
    <sheetView workbookViewId="0"/>
  </sheetViews>
  <sheetFormatPr defaultRowHeight="15"/>
  <sheetData/>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7DFF6-133A-468A-AA10-3801614DA189}">
  <dimension ref="A1"/>
  <sheetViews>
    <sheetView workbookViewId="0"/>
  </sheetViews>
  <sheetFormatPr defaultRowHeight="15"/>
  <sheetData/>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2BBC0-26B7-4F95-8ADC-BA9B8778456C}">
  <dimension ref="A1"/>
  <sheetViews>
    <sheetView workbookViewId="0"/>
  </sheetViews>
  <sheetFormatPr defaultRowHeight="15"/>
  <sheetData/>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E3640-C29D-4118-902F-686B16ABFAD7}">
  <dimension ref="A1"/>
  <sheetViews>
    <sheetView workbookViewId="0"/>
  </sheetViews>
  <sheetFormatPr defaultRowHeight="15"/>
  <sheetData/>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886CD-1C77-44D1-830B-0A5B41799438}">
  <dimension ref="A1"/>
  <sheetViews>
    <sheetView workbookViewId="0"/>
  </sheetViews>
  <sheetFormatPr defaultRowHeight="15"/>
  <sheetData/>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3A812-18E0-4F48-990E-CFEB7C22B363}">
  <dimension ref="A1"/>
  <sheetViews>
    <sheetView workbookViewId="0"/>
  </sheetViews>
  <sheetFormatPr defaultRowHeight="15"/>
  <sheetData/>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05597-B3D6-4BCE-81B8-1042D47A82F9}">
  <dimension ref="A1"/>
  <sheetViews>
    <sheetView workbookViewId="0"/>
  </sheetViews>
  <sheetFormatPr defaultRowHeight="15"/>
  <sheetData/>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D0CD6-41D8-4144-91A9-0A06EF4372FC}">
  <dimension ref="A1"/>
  <sheetViews>
    <sheetView workbookViewId="0"/>
  </sheetViews>
  <sheetFormatPr defaultRowHeight="15"/>
  <sheetData/>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8B22C-AC97-4731-872B-18132FC3D3EC}">
  <dimension ref="A1"/>
  <sheetViews>
    <sheetView workbookViewId="0"/>
  </sheetViews>
  <sheetFormatPr defaultRowHeight="15"/>
  <sheetData/>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7E05-410A-4A4F-833F-527BD40D2028}">
  <dimension ref="A1"/>
  <sheetViews>
    <sheetView workbookViewId="0"/>
  </sheetViews>
  <sheetFormatPr defaultRowHeight="15"/>
  <sheetData/>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4DFBF-58EF-41E0-B763-1B0B0566459E}">
  <dimension ref="A1"/>
  <sheetViews>
    <sheetView workbookViewId="0"/>
  </sheetViews>
  <sheetFormatPr defaultRowHeight="15"/>
  <sheetData/>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CF5FA-E907-4F88-8AD7-41351F266CAD}">
  <dimension ref="A1"/>
  <sheetViews>
    <sheetView workbookViewId="0"/>
  </sheetViews>
  <sheetFormatPr defaultRowHeight="15"/>
  <sheetData/>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28EB7-4444-4965-A356-A4133722962C}">
  <dimension ref="A1"/>
  <sheetViews>
    <sheetView workbookViewId="0"/>
  </sheetViews>
  <sheetFormatPr defaultRowHeight="15"/>
  <sheetData/>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5727C-28E6-4514-96D0-AE62AAA20377}">
  <dimension ref="A1"/>
  <sheetViews>
    <sheetView workbookViewId="0"/>
  </sheetViews>
  <sheetFormatPr defaultRowHeight="15"/>
  <sheetData/>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CCE99-5015-46E5-B6D9-6710D3ED3D9F}">
  <dimension ref="A1"/>
  <sheetViews>
    <sheetView workbookViewId="0"/>
  </sheetViews>
  <sheetFormatPr defaultRowHeight="15"/>
  <sheetData/>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86B6B-C0DD-4B42-9B2D-70006CF18903}">
  <dimension ref="A1"/>
  <sheetViews>
    <sheetView workbookViewId="0"/>
  </sheetViews>
  <sheetFormatPr defaultRowHeight="15"/>
  <sheetData/>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4251F-AA7F-4C8D-8825-A2263CD98667}">
  <dimension ref="A1"/>
  <sheetViews>
    <sheetView workbookViewId="0"/>
  </sheetViews>
  <sheetFormatPr defaultRowHeight="15"/>
  <sheetData/>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6FF70-A972-4C8F-A5F1-6D7118A01D88}">
  <dimension ref="A1"/>
  <sheetViews>
    <sheetView workbookViewId="0"/>
  </sheetViews>
  <sheetFormatPr defaultRowHeight="15"/>
  <sheetData/>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03D19-CE1D-40E4-96AD-0919D896CAC6}">
  <dimension ref="A1"/>
  <sheetViews>
    <sheetView workbookViewId="0"/>
  </sheetViews>
  <sheetFormatPr defaultRowHeight="15"/>
  <sheetData/>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C3386-3BDE-4A3A-8366-D826548D4F60}">
  <dimension ref="A1"/>
  <sheetViews>
    <sheetView workbookViewId="0"/>
  </sheetViews>
  <sheetFormatPr defaultRowHeight="15"/>
  <sheetData/>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DD89B-9708-4253-878C-DF74A95FD708}">
  <dimension ref="A1"/>
  <sheetViews>
    <sheetView workbookViewId="0"/>
  </sheetViews>
  <sheetFormatPr defaultRowHeight="15"/>
  <sheetData/>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3EE18-5D0F-4BF9-9BE3-443D4D846684}">
  <dimension ref="A1"/>
  <sheetViews>
    <sheetView workbookViewId="0"/>
  </sheetViews>
  <sheetFormatPr defaultRowHeight="15"/>
  <sheetData/>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98724-4D82-4950-9FCE-DBFC7010CF83}">
  <dimension ref="A1"/>
  <sheetViews>
    <sheetView workbookViewId="0"/>
  </sheetViews>
  <sheetFormatPr defaultRowHeight="15"/>
  <sheetData/>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86673-1E77-45AA-85A4-A679FA26BD47}">
  <dimension ref="A1"/>
  <sheetViews>
    <sheetView workbookViewId="0"/>
  </sheetViews>
  <sheetFormatPr defaultRowHeight="15"/>
  <sheetData/>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789BE-B52F-4D37-BB6D-FBF7A0C39011}">
  <dimension ref="A1"/>
  <sheetViews>
    <sheetView workbookViewId="0"/>
  </sheetViews>
  <sheetFormatPr defaultRowHeight="15"/>
  <sheetData/>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9E157-A035-4648-828B-02F42AAF10BA}">
  <dimension ref="A1"/>
  <sheetViews>
    <sheetView workbookViewId="0"/>
  </sheetViews>
  <sheetFormatPr defaultRowHeight="15"/>
  <sheetData/>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7E8DE-5953-47E5-829A-0C7BBA4296DD}">
  <dimension ref="A1"/>
  <sheetViews>
    <sheetView workbookViewId="0"/>
  </sheetViews>
  <sheetFormatPr defaultRowHeight="15"/>
  <sheetData/>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6A464-53A6-4CD6-BD0B-B12002D066AB}">
  <dimension ref="A1"/>
  <sheetViews>
    <sheetView workbookViewId="0"/>
  </sheetViews>
  <sheetFormatPr defaultRowHeight="15"/>
  <sheetData/>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CEFA5-9F71-46B2-A49D-39CC0D203398}">
  <dimension ref="A1"/>
  <sheetViews>
    <sheetView workbookViewId="0"/>
  </sheetViews>
  <sheetFormatPr defaultRowHeight="15"/>
  <sheetData/>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7550F-ADA0-47C4-B036-31FFE56D1C4E}">
  <dimension ref="A1"/>
  <sheetViews>
    <sheetView workbookViewId="0"/>
  </sheetViews>
  <sheetFormatPr defaultRowHeight="15"/>
  <sheetData/>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2DA-11EF-4CBA-9048-6D00CF5308DF}">
  <dimension ref="A1"/>
  <sheetViews>
    <sheetView workbookViewId="0"/>
  </sheetViews>
  <sheetFormatPr defaultRowHeight="15"/>
  <sheetData/>
  <pageMargins left="0.7" right="0.7" top="0.75" bottom="0.75" header="0.3" footer="0.3"/>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1906C-3283-458D-A695-8B44941D01F7}">
  <dimension ref="A1"/>
  <sheetViews>
    <sheetView workbookViewId="0"/>
  </sheetViews>
  <sheetFormatPr defaultRowHeight="15"/>
  <sheetData/>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C4060-AE3D-4B14-B9C4-BF0FF12D8BA1}">
  <dimension ref="A1"/>
  <sheetViews>
    <sheetView workbookViewId="0"/>
  </sheetViews>
  <sheetFormatPr defaultRowHeight="15"/>
  <sheetData/>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F350D-2B7F-4B14-924E-BEBA144FC014}">
  <dimension ref="A1"/>
  <sheetViews>
    <sheetView workbookViewId="0"/>
  </sheetViews>
  <sheetFormatPr defaultRowHeight="15"/>
  <sheetData/>
  <pageMargins left="0.7" right="0.7" top="0.75" bottom="0.75" header="0.3" footer="0.3"/>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B8D9E-4582-442E-8FC1-368D92706038}">
  <dimension ref="A1"/>
  <sheetViews>
    <sheetView workbookViewId="0"/>
  </sheetViews>
  <sheetFormatPr defaultRowHeight="15"/>
  <sheetData/>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958F3-54FC-4740-A3AD-F2E6579B0FFA}">
  <dimension ref="A1"/>
  <sheetViews>
    <sheetView workbookViewId="0"/>
  </sheetViews>
  <sheetFormatPr defaultRowHeight="15"/>
  <sheetData/>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08DCD-509B-4616-9ABF-36579C54B562}">
  <dimension ref="A1"/>
  <sheetViews>
    <sheetView workbookViewId="0"/>
  </sheetViews>
  <sheetFormatPr defaultRowHeight="15"/>
  <sheetData/>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86ED9-284A-4A19-B27E-B22388797E75}">
  <dimension ref="A1"/>
  <sheetViews>
    <sheetView workbookViewId="0"/>
  </sheetViews>
  <sheetFormatPr defaultRowHeight="15"/>
  <sheetData/>
  <pageMargins left="0.7" right="0.7" top="0.75" bottom="0.75" header="0.3" footer="0.3"/>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9639C-791D-4AD5-BA30-AB98D224B35E}">
  <dimension ref="A1"/>
  <sheetViews>
    <sheetView workbookViewId="0"/>
  </sheetViews>
  <sheetFormatPr defaultRowHeight="15"/>
  <sheetData/>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CFEEA-FCD6-47A6-AA19-49518E47C4DB}">
  <dimension ref="A1"/>
  <sheetViews>
    <sheetView workbookViewId="0"/>
  </sheetViews>
  <sheetFormatPr defaultRowHeight="15"/>
  <sheetData/>
  <pageMargins left="0.7" right="0.7" top="0.75" bottom="0.75" header="0.3" footer="0.3"/>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82CEE-23B2-466E-8799-48D5FD434E49}">
  <dimension ref="A1"/>
  <sheetViews>
    <sheetView workbookViewId="0"/>
  </sheetViews>
  <sheetFormatPr defaultRowHeight="15"/>
  <sheetData/>
  <pageMargins left="0.7" right="0.7" top="0.75" bottom="0.75" header="0.3" footer="0.3"/>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FBE39-246F-4E32-AC52-ABA99E3D71D4}">
  <dimension ref="A1"/>
  <sheetViews>
    <sheetView workbookViewId="0"/>
  </sheetViews>
  <sheetFormatPr defaultRowHeight="15"/>
  <sheetData/>
  <pageMargins left="0.7" right="0.7" top="0.75" bottom="0.75" header="0.3" footer="0.3"/>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632EA-0C23-4D6C-9350-11A1807AE41F}">
  <dimension ref="A1"/>
  <sheetViews>
    <sheetView workbookViewId="0"/>
  </sheetViews>
  <sheetFormatPr defaultRowHeight="15"/>
  <sheetData/>
  <pageMargins left="0.7" right="0.7" top="0.75" bottom="0.75" header="0.3" footer="0.3"/>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2159B-9B8F-4A3A-950F-B829DDDF45B3}">
  <dimension ref="A1"/>
  <sheetViews>
    <sheetView workbookViewId="0"/>
  </sheetViews>
  <sheetFormatPr defaultRowHeight="15"/>
  <sheetData/>
  <pageMargins left="0.7" right="0.7" top="0.75" bottom="0.75" header="0.3" footer="0.3"/>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9BF28-1522-4924-ABEC-BCFE06F9E8AA}">
  <dimension ref="A1"/>
  <sheetViews>
    <sheetView workbookViewId="0"/>
  </sheetViews>
  <sheetFormatPr defaultRowHeight="15"/>
  <sheetData/>
  <pageMargins left="0.7" right="0.7" top="0.75" bottom="0.75" header="0.3" footer="0.3"/>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8EFEF-EEA6-4D13-B324-9E86BB4BBD5E}">
  <dimension ref="A1"/>
  <sheetViews>
    <sheetView workbookViewId="0"/>
  </sheetViews>
  <sheetFormatPr defaultRowHeight="15"/>
  <sheetData/>
  <pageMargins left="0.7" right="0.7" top="0.75" bottom="0.75" header="0.3" footer="0.3"/>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C551F-5D06-4827-B3CA-3A0E7E3F4E38}">
  <dimension ref="A1"/>
  <sheetViews>
    <sheetView workbookViewId="0"/>
  </sheetViews>
  <sheetFormatPr defaultRowHeight="15"/>
  <sheetData/>
  <pageMargins left="0.7" right="0.7" top="0.75" bottom="0.75" header="0.3" footer="0.3"/>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8290B-33A3-4C0B-BA26-55A1D06BE5B7}">
  <dimension ref="A1"/>
  <sheetViews>
    <sheetView workbookViewId="0"/>
  </sheetViews>
  <sheetFormatPr defaultRowHeight="15"/>
  <sheetData/>
  <pageMargins left="0.7" right="0.7" top="0.75" bottom="0.75" header="0.3" footer="0.3"/>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A48A7-4609-42D8-B0BA-D1630479E190}">
  <dimension ref="A1"/>
  <sheetViews>
    <sheetView workbookViewId="0"/>
  </sheetViews>
  <sheetFormatPr defaultRowHeight="15"/>
  <sheetData/>
  <pageMargins left="0.7" right="0.7" top="0.75" bottom="0.75" header="0.3" footer="0.3"/>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9B00E-AA33-4C63-B947-4CF9B71F2A6E}">
  <dimension ref="A1"/>
  <sheetViews>
    <sheetView workbookViewId="0"/>
  </sheetViews>
  <sheetFormatPr defaultRowHeight="15"/>
  <sheetData/>
  <pageMargins left="0.7" right="0.7" top="0.75" bottom="0.75" header="0.3" footer="0.3"/>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27C07-C13E-4E2E-AB1B-3659D713F644}">
  <dimension ref="A1"/>
  <sheetViews>
    <sheetView workbookViewId="0"/>
  </sheetViews>
  <sheetFormatPr defaultRowHeight="15"/>
  <sheetData/>
  <pageMargins left="0.7" right="0.7" top="0.75" bottom="0.75" header="0.3" footer="0.3"/>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4822D-2EFA-4AE2-81BD-58BF38674298}">
  <dimension ref="A1"/>
  <sheetViews>
    <sheetView workbookViewId="0"/>
  </sheetViews>
  <sheetFormatPr defaultRowHeight="15"/>
  <sheetData/>
  <pageMargins left="0.7" right="0.7" top="0.75" bottom="0.75" header="0.3" footer="0.3"/>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B6DAB-9B28-4D0D-B0F5-14B7D62F0283}">
  <dimension ref="A1"/>
  <sheetViews>
    <sheetView workbookViewId="0"/>
  </sheetViews>
  <sheetFormatPr defaultRowHeight="15"/>
  <sheetData/>
  <pageMargins left="0.7" right="0.7" top="0.75" bottom="0.75" header="0.3" footer="0.3"/>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FDCA0-4C03-4F5B-AF94-22E9933E2513}">
  <dimension ref="A1"/>
  <sheetViews>
    <sheetView workbookViewId="0"/>
  </sheetViews>
  <sheetFormatPr defaultRowHeight="15"/>
  <sheetData/>
  <pageMargins left="0.7" right="0.7" top="0.75" bottom="0.75" header="0.3" footer="0.3"/>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84BD7-3D5D-48F9-AF1A-5B40F67E438A}">
  <dimension ref="A1"/>
  <sheetViews>
    <sheetView workbookViewId="0"/>
  </sheetViews>
  <sheetFormatPr defaultRowHeight="15"/>
  <sheetData/>
  <pageMargins left="0.7" right="0.7" top="0.75" bottom="0.75" header="0.3" footer="0.3"/>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F57F3-2EC8-478B-8E5F-4EB4B1EE7E19}">
  <dimension ref="A1"/>
  <sheetViews>
    <sheetView workbookViewId="0"/>
  </sheetViews>
  <sheetFormatPr defaultRowHeight="15"/>
  <sheetData/>
  <pageMargins left="0.7" right="0.7" top="0.75" bottom="0.75" header="0.3" footer="0.3"/>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5F59F-9790-4D57-8933-62084F210814}">
  <dimension ref="A1"/>
  <sheetViews>
    <sheetView workbookViewId="0"/>
  </sheetViews>
  <sheetFormatPr defaultRowHeight="15"/>
  <sheetData/>
  <pageMargins left="0.7" right="0.7" top="0.75" bottom="0.75" header="0.3" footer="0.3"/>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C8B50-030C-454B-8BFE-4F6E1F95DB76}">
  <dimension ref="A1"/>
  <sheetViews>
    <sheetView workbookViewId="0"/>
  </sheetViews>
  <sheetFormatPr defaultRowHeight="15"/>
  <sheetData/>
  <pageMargins left="0.7" right="0.7" top="0.75" bottom="0.75" header="0.3" footer="0.3"/>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8B4DE-A01A-4575-ACD4-FEFFBDA0B2D7}">
  <dimension ref="A1"/>
  <sheetViews>
    <sheetView workbookViewId="0"/>
  </sheetViews>
  <sheetFormatPr defaultRowHeight="15"/>
  <sheetData/>
  <pageMargins left="0.7" right="0.7" top="0.75" bottom="0.75" header="0.3" footer="0.3"/>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C41F5-7D53-4C23-A61B-5522274619F3}">
  <dimension ref="A1"/>
  <sheetViews>
    <sheetView workbookViewId="0"/>
  </sheetViews>
  <sheetFormatPr defaultRowHeight="15"/>
  <sheetData/>
  <pageMargins left="0.7" right="0.7" top="0.75" bottom="0.75" header="0.3" footer="0.3"/>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65CDF-EBDC-4F0C-B973-86501FD14AFD}">
  <dimension ref="A1"/>
  <sheetViews>
    <sheetView workbookViewId="0"/>
  </sheetViews>
  <sheetFormatPr defaultRowHeight="15"/>
  <sheetData/>
  <pageMargins left="0.7" right="0.7" top="0.75" bottom="0.75" header="0.3" footer="0.3"/>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FCCFF-9512-47D9-AC75-2DA3718D17C0}">
  <dimension ref="A1"/>
  <sheetViews>
    <sheetView workbookViewId="0"/>
  </sheetViews>
  <sheetFormatPr defaultRowHeight="15"/>
  <sheetData/>
  <pageMargins left="0.7" right="0.7" top="0.75" bottom="0.75" header="0.3" footer="0.3"/>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0E567-E22F-45C0-80ED-306EF3C40EB9}">
  <dimension ref="A1"/>
  <sheetViews>
    <sheetView workbookViewId="0"/>
  </sheetViews>
  <sheetFormatPr defaultRowHeight="15"/>
  <sheetData/>
  <pageMargins left="0.7" right="0.7" top="0.75" bottom="0.75" header="0.3" footer="0.3"/>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CA401-79A8-427A-B6AD-EDDDE33438BC}">
  <dimension ref="A1"/>
  <sheetViews>
    <sheetView workbookViewId="0"/>
  </sheetViews>
  <sheetFormatPr defaultRowHeight="15"/>
  <sheetData/>
  <pageMargins left="0.7" right="0.7" top="0.75" bottom="0.75" header="0.3" footer="0.3"/>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C60BE-82D2-49E0-B029-E9FDB8DBC46F}">
  <dimension ref="A1"/>
  <sheetViews>
    <sheetView workbookViewId="0"/>
  </sheetViews>
  <sheetFormatPr defaultRowHeight="15"/>
  <sheetData/>
  <pageMargins left="0.7" right="0.7" top="0.75" bottom="0.75" header="0.3" footer="0.3"/>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FC114-C9E5-4508-BA62-C2C3EC987F13}">
  <dimension ref="A1"/>
  <sheetViews>
    <sheetView workbookViewId="0"/>
  </sheetViews>
  <sheetFormatPr defaultRowHeight="15"/>
  <sheetData/>
  <pageMargins left="0.7" right="0.7" top="0.75" bottom="0.75" header="0.3" footer="0.3"/>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8BB95-4867-4697-84DC-EC5EB7565007}">
  <dimension ref="A1"/>
  <sheetViews>
    <sheetView workbookViewId="0"/>
  </sheetViews>
  <sheetFormatPr defaultRowHeight="15"/>
  <sheetData/>
  <pageMargins left="0.7" right="0.7" top="0.75" bottom="0.75" header="0.3" footer="0.3"/>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D5B98-67BE-4C89-A296-6FA249F0CF2A}">
  <dimension ref="A1"/>
  <sheetViews>
    <sheetView workbookViewId="0"/>
  </sheetViews>
  <sheetFormatPr defaultRowHeight="15"/>
  <sheetData/>
  <pageMargins left="0.7" right="0.7" top="0.75" bottom="0.75" header="0.3" footer="0.3"/>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45A1A-17FE-45DB-A79A-7D1B93605969}">
  <dimension ref="A1"/>
  <sheetViews>
    <sheetView workbookViewId="0"/>
  </sheetViews>
  <sheetFormatPr defaultRowHeight="15"/>
  <sheetData/>
  <pageMargins left="0.7" right="0.7" top="0.75" bottom="0.75" header="0.3" footer="0.3"/>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EB68E-62E1-4B3C-89C0-8C07D8B5B623}">
  <dimension ref="A1"/>
  <sheetViews>
    <sheetView workbookViewId="0"/>
  </sheetViews>
  <sheetFormatPr defaultRowHeight="15"/>
  <sheetData/>
  <pageMargins left="0.7" right="0.7" top="0.75" bottom="0.75" header="0.3" footer="0.3"/>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40BCE-AF49-416B-8507-3A25FEFB3B88}">
  <dimension ref="A1"/>
  <sheetViews>
    <sheetView workbookViewId="0"/>
  </sheetViews>
  <sheetFormatPr defaultRowHeight="15"/>
  <sheetData/>
  <pageMargins left="0.7" right="0.7" top="0.75" bottom="0.75" header="0.3" footer="0.3"/>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486AA-7D28-45FF-B54C-30D80FECDFDD}">
  <dimension ref="A1"/>
  <sheetViews>
    <sheetView workbookViewId="0"/>
  </sheetViews>
  <sheetFormatPr defaultRowHeight="15"/>
  <sheetData/>
  <pageMargins left="0.7" right="0.7" top="0.75" bottom="0.75" header="0.3" footer="0.3"/>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00C42-9FE9-4120-98FF-B6E158C5EA85}">
  <dimension ref="A1"/>
  <sheetViews>
    <sheetView workbookViewId="0"/>
  </sheetViews>
  <sheetFormatPr defaultRowHeight="15"/>
  <sheetData/>
  <pageMargins left="0.7" right="0.7" top="0.75" bottom="0.75" header="0.3" footer="0.3"/>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7765A-6A5A-4F0C-9C27-9092253AB969}">
  <dimension ref="A1"/>
  <sheetViews>
    <sheetView workbookViewId="0"/>
  </sheetViews>
  <sheetFormatPr defaultRowHeight="15"/>
  <sheetData/>
  <pageMargins left="0.7" right="0.7" top="0.75" bottom="0.75" header="0.3" footer="0.3"/>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9DB8D-D13D-4292-9194-6BB7337B90C5}">
  <dimension ref="A1"/>
  <sheetViews>
    <sheetView workbookViewId="0"/>
  </sheetViews>
  <sheetFormatPr defaultRowHeight="15"/>
  <sheetData/>
  <pageMargins left="0.7" right="0.7" top="0.75" bottom="0.75" header="0.3" footer="0.3"/>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AAF8B-4008-4280-9DDD-C761D835E145}">
  <dimension ref="A1"/>
  <sheetViews>
    <sheetView workbookViewId="0"/>
  </sheetViews>
  <sheetFormatPr defaultRowHeight="15"/>
  <sheetData/>
  <pageMargins left="0.7" right="0.7" top="0.75" bottom="0.75" header="0.3" footer="0.3"/>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0FCDE-02C2-401F-91BC-E288AE710BA5}">
  <dimension ref="A1"/>
  <sheetViews>
    <sheetView workbookViewId="0"/>
  </sheetViews>
  <sheetFormatPr defaultRowHeight="15"/>
  <sheetData/>
  <pageMargins left="0.7" right="0.7" top="0.75" bottom="0.75" header="0.3" footer="0.3"/>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87649-B307-4597-9D2B-C68DCAB3B301}">
  <dimension ref="A1"/>
  <sheetViews>
    <sheetView workbookViewId="0"/>
  </sheetViews>
  <sheetFormatPr defaultRowHeight="15"/>
  <sheetData/>
  <pageMargins left="0.7" right="0.7" top="0.75" bottom="0.75" header="0.3" footer="0.3"/>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920BF-D05D-47C4-A515-FAC418672347}">
  <dimension ref="A1"/>
  <sheetViews>
    <sheetView workbookViewId="0"/>
  </sheetViews>
  <sheetFormatPr defaultRowHeight="15"/>
  <sheetData/>
  <pageMargins left="0.7" right="0.7" top="0.75" bottom="0.75" header="0.3" footer="0.3"/>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CE733-76A1-4925-AA0C-3A9D8AD4A6CF}">
  <dimension ref="A1"/>
  <sheetViews>
    <sheetView workbookViewId="0"/>
  </sheetViews>
  <sheetFormatPr defaultRowHeight="15"/>
  <sheetData/>
  <pageMargins left="0.7" right="0.7" top="0.75" bottom="0.75" header="0.3" footer="0.3"/>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0FE96-FA7C-44EB-90DE-0AB011781BFB}">
  <dimension ref="A1"/>
  <sheetViews>
    <sheetView workbookViewId="0"/>
  </sheetViews>
  <sheetFormatPr defaultRowHeight="15"/>
  <sheetData/>
  <pageMargins left="0.7" right="0.7" top="0.75" bottom="0.75" header="0.3" footer="0.3"/>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FF216-0493-4022-9862-30BE51F70A7A}">
  <dimension ref="A1"/>
  <sheetViews>
    <sheetView workbookViewId="0"/>
  </sheetViews>
  <sheetFormatPr defaultRowHeight="15"/>
  <sheetData/>
  <pageMargins left="0.7" right="0.7" top="0.75" bottom="0.75" header="0.3" footer="0.3"/>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F8F19-5649-4242-B04B-3254BEB9F62F}">
  <dimension ref="A1"/>
  <sheetViews>
    <sheetView workbookViewId="0"/>
  </sheetViews>
  <sheetFormatPr defaultRowHeight="15"/>
  <sheetData/>
  <pageMargins left="0.7" right="0.7" top="0.75" bottom="0.75" header="0.3" footer="0.3"/>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683C6-D979-4C73-B279-6A4563757ADE}">
  <dimension ref="A1"/>
  <sheetViews>
    <sheetView workbookViewId="0"/>
  </sheetViews>
  <sheetFormatPr defaultRowHeight="15"/>
  <sheetData/>
  <pageMargins left="0.7" right="0.7" top="0.75" bottom="0.75" header="0.3" footer="0.3"/>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54B28-4F5B-489F-8F00-27B5E064BC08}">
  <dimension ref="A1"/>
  <sheetViews>
    <sheetView workbookViewId="0"/>
  </sheetViews>
  <sheetFormatPr defaultRowHeight="15"/>
  <sheetData/>
  <pageMargins left="0.7" right="0.7" top="0.75" bottom="0.75" header="0.3" footer="0.3"/>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A6CE5-A610-4322-A007-CAB76AF77608}">
  <dimension ref="A1"/>
  <sheetViews>
    <sheetView workbookViewId="0"/>
  </sheetViews>
  <sheetFormatPr defaultRowHeight="15"/>
  <sheetData/>
  <pageMargins left="0.7" right="0.7" top="0.75" bottom="0.75" header="0.3" footer="0.3"/>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041D7-BE19-4626-88B7-5E73356A2BB9}">
  <dimension ref="A1"/>
  <sheetViews>
    <sheetView workbookViewId="0"/>
  </sheetViews>
  <sheetFormatPr defaultRowHeight="15"/>
  <sheetData/>
  <pageMargins left="0.7" right="0.7" top="0.75" bottom="0.75" header="0.3" footer="0.3"/>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A274C-B42B-4998-A8AB-82012E4CE010}">
  <dimension ref="A1"/>
  <sheetViews>
    <sheetView workbookViewId="0"/>
  </sheetViews>
  <sheetFormatPr defaultRowHeight="15"/>
  <sheetData/>
  <pageMargins left="0.7" right="0.7" top="0.75" bottom="0.75" header="0.3" footer="0.3"/>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73563-BC79-45AC-9E8B-EBE121E76D21}">
  <dimension ref="A1"/>
  <sheetViews>
    <sheetView workbookViewId="0"/>
  </sheetViews>
  <sheetFormatPr defaultRowHeight="15"/>
  <sheetData/>
  <pageMargins left="0.7" right="0.7" top="0.75" bottom="0.75" header="0.3" footer="0.3"/>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81D22-82C6-4EAC-895E-1C9224003DB5}">
  <dimension ref="A1"/>
  <sheetViews>
    <sheetView workbookViewId="0"/>
  </sheetViews>
  <sheetFormatPr defaultRowHeight="15"/>
  <sheetData/>
  <pageMargins left="0.7" right="0.7" top="0.75" bottom="0.75" header="0.3" footer="0.3"/>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68BAE-C377-484B-BB7F-CBDF52CAB1FF}">
  <dimension ref="A1"/>
  <sheetViews>
    <sheetView workbookViewId="0"/>
  </sheetViews>
  <sheetFormatPr defaultRowHeight="15"/>
  <sheetData/>
  <pageMargins left="0.7" right="0.7" top="0.75" bottom="0.75" header="0.3" footer="0.3"/>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F0131-FE07-4DA4-99CE-093DC6F8B624}">
  <dimension ref="A1"/>
  <sheetViews>
    <sheetView workbookViewId="0"/>
  </sheetViews>
  <sheetFormatPr defaultRowHeight="15"/>
  <sheetData/>
  <pageMargins left="0.7" right="0.7" top="0.75" bottom="0.75" header="0.3" footer="0.3"/>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7157B-4C56-43D4-98B4-5F2343D104A9}">
  <dimension ref="A1"/>
  <sheetViews>
    <sheetView workbookViewId="0"/>
  </sheetViews>
  <sheetFormatPr defaultRowHeight="15"/>
  <sheetData/>
  <pageMargins left="0.7" right="0.7" top="0.75" bottom="0.75" header="0.3" footer="0.3"/>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E56B4-24B6-442C-8748-350D49FE53C0}">
  <dimension ref="A1"/>
  <sheetViews>
    <sheetView workbookViewId="0"/>
  </sheetViews>
  <sheetFormatPr defaultRowHeight="15"/>
  <sheetData/>
  <pageMargins left="0.7" right="0.7" top="0.75" bottom="0.75" header="0.3" footer="0.3"/>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DDEF2-A32B-4011-931B-3015D81EDA9E}">
  <dimension ref="A1"/>
  <sheetViews>
    <sheetView workbookViewId="0"/>
  </sheetViews>
  <sheetFormatPr defaultRowHeight="15"/>
  <sheetData/>
  <pageMargins left="0.7" right="0.7" top="0.75" bottom="0.75" header="0.3" footer="0.3"/>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60EE6-4B37-452E-8DFC-BDEB0AECDE6D}">
  <dimension ref="A1"/>
  <sheetViews>
    <sheetView workbookViewId="0"/>
  </sheetViews>
  <sheetFormatPr defaultRowHeight="15"/>
  <sheetData/>
  <pageMargins left="0.7" right="0.7" top="0.75" bottom="0.75" header="0.3" footer="0.3"/>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6B729-892B-4DC6-8D18-DAF832A638ED}">
  <dimension ref="A1"/>
  <sheetViews>
    <sheetView workbookViewId="0"/>
  </sheetViews>
  <sheetFormatPr defaultRowHeight="15"/>
  <sheetData/>
  <pageMargins left="0.7" right="0.7" top="0.75" bottom="0.75" header="0.3" footer="0.3"/>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43126-91CD-4EFD-84EB-1642DD0EBE29}">
  <dimension ref="A1"/>
  <sheetViews>
    <sheetView workbookViewId="0"/>
  </sheetViews>
  <sheetFormatPr defaultRowHeight="15"/>
  <sheetData/>
  <pageMargins left="0.7" right="0.7" top="0.75" bottom="0.75" header="0.3" footer="0.3"/>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EE7DE-76C8-4E42-8CBD-D60A3B2BF500}">
  <dimension ref="A1"/>
  <sheetViews>
    <sheetView workbookViewId="0"/>
  </sheetViews>
  <sheetFormatPr defaultRowHeight="15"/>
  <sheetData/>
  <pageMargins left="0.7" right="0.7" top="0.75" bottom="0.75" header="0.3" footer="0.3"/>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83185-5793-4CF7-92D6-4A44783BA862}">
  <dimension ref="A1"/>
  <sheetViews>
    <sheetView workbookViewId="0"/>
  </sheetViews>
  <sheetFormatPr defaultRowHeight="15"/>
  <sheetData/>
  <pageMargins left="0.7" right="0.7" top="0.75" bottom="0.75" header="0.3" footer="0.3"/>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78F2A-B2A7-4677-8E11-EFA791C221AC}">
  <dimension ref="A1"/>
  <sheetViews>
    <sheetView workbookViewId="0"/>
  </sheetViews>
  <sheetFormatPr defaultRowHeight="15"/>
  <sheetData/>
  <pageMargins left="0.7" right="0.7" top="0.75" bottom="0.75" header="0.3" footer="0.3"/>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7CE79-C450-49F9-93C3-C1BFFBCCB129}">
  <dimension ref="A1"/>
  <sheetViews>
    <sheetView workbookViewId="0"/>
  </sheetViews>
  <sheetFormatPr defaultRowHeight="15"/>
  <sheetData/>
  <pageMargins left="0.7" right="0.7" top="0.75" bottom="0.75" header="0.3" footer="0.3"/>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C849E-9A62-497F-8C3B-1943096FE3F0}">
  <dimension ref="A1"/>
  <sheetViews>
    <sheetView workbookViewId="0"/>
  </sheetViews>
  <sheetFormatPr defaultRowHeight="15"/>
  <sheetData/>
  <pageMargins left="0.7" right="0.7" top="0.75" bottom="0.75" header="0.3" footer="0.3"/>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400A6-459A-431E-A2EE-6127F4D5259A}">
  <dimension ref="A1"/>
  <sheetViews>
    <sheetView workbookViewId="0"/>
  </sheetViews>
  <sheetFormatPr defaultRowHeight="15"/>
  <sheetData/>
  <pageMargins left="0.7" right="0.7" top="0.75" bottom="0.75" header="0.3" footer="0.3"/>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EC7F2-AF20-4DC0-AAA3-F95BEF1FA7B8}">
  <dimension ref="A1"/>
  <sheetViews>
    <sheetView workbookViewId="0"/>
  </sheetViews>
  <sheetFormatPr defaultRowHeight="15"/>
  <sheetData/>
  <pageMargins left="0.7" right="0.7" top="0.75" bottom="0.75" header="0.3" footer="0.3"/>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0342B-340E-4AC7-B399-C39E0C4265AA}">
  <dimension ref="A1"/>
  <sheetViews>
    <sheetView workbookViewId="0"/>
  </sheetViews>
  <sheetFormatPr defaultRowHeight="15"/>
  <sheetData/>
  <pageMargins left="0.7" right="0.7" top="0.75" bottom="0.75" header="0.3" footer="0.3"/>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ECA25-8B3B-41D2-8C1C-337DB5BBE858}">
  <dimension ref="A1"/>
  <sheetViews>
    <sheetView workbookViewId="0"/>
  </sheetViews>
  <sheetFormatPr defaultRowHeight="15"/>
  <sheetData/>
  <pageMargins left="0.7" right="0.7" top="0.75" bottom="0.75" header="0.3" footer="0.3"/>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AD0D3-F3B8-47C2-9D00-324914DEC16E}">
  <dimension ref="A1"/>
  <sheetViews>
    <sheetView workbookViewId="0"/>
  </sheetViews>
  <sheetFormatPr defaultRowHeight="15"/>
  <sheetData/>
  <pageMargins left="0.7" right="0.7" top="0.75" bottom="0.75" header="0.3" footer="0.3"/>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29FE0-8E48-4E22-B219-71563DAEA842}">
  <dimension ref="A1"/>
  <sheetViews>
    <sheetView workbookViewId="0"/>
  </sheetViews>
  <sheetFormatPr defaultRowHeight="15"/>
  <sheetData/>
  <pageMargins left="0.7" right="0.7" top="0.75" bottom="0.75" header="0.3" footer="0.3"/>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190AA-75B3-4637-84C5-FA722304EBB9}">
  <dimension ref="A1"/>
  <sheetViews>
    <sheetView workbookViewId="0"/>
  </sheetViews>
  <sheetFormatPr defaultRowHeight="15"/>
  <sheetData/>
  <pageMargins left="0.7" right="0.7" top="0.75" bottom="0.75" header="0.3" footer="0.3"/>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F210C-24F5-420D-8922-ABD73C033788}">
  <dimension ref="A1"/>
  <sheetViews>
    <sheetView workbookViewId="0"/>
  </sheetViews>
  <sheetFormatPr defaultRowHeight="15"/>
  <sheetData/>
  <pageMargins left="0.7" right="0.7" top="0.75" bottom="0.75" header="0.3" footer="0.3"/>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3FDBD-9549-4002-96A7-2CC2547061F4}">
  <dimension ref="A1"/>
  <sheetViews>
    <sheetView workbookViewId="0"/>
  </sheetViews>
  <sheetFormatPr defaultRowHeight="15"/>
  <sheetData/>
  <pageMargins left="0.7" right="0.7" top="0.75" bottom="0.75" header="0.3" footer="0.3"/>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9299-9388-4742-B9F2-421E44D77926}">
  <dimension ref="A1"/>
  <sheetViews>
    <sheetView workbookViewId="0"/>
  </sheetViews>
  <sheetFormatPr defaultRowHeight="15"/>
  <sheetData/>
  <pageMargins left="0.7" right="0.7" top="0.75" bottom="0.75" header="0.3" footer="0.3"/>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E7A5E-1034-4676-BBDD-22EFDAE5CAF2}">
  <dimension ref="A1"/>
  <sheetViews>
    <sheetView workbookViewId="0"/>
  </sheetViews>
  <sheetFormatPr defaultRowHeight="15"/>
  <sheetData/>
  <pageMargins left="0.7" right="0.7" top="0.75" bottom="0.75" header="0.3" footer="0.3"/>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D9DA8-D3BB-42EC-9B78-82A5528BC365}">
  <dimension ref="A1"/>
  <sheetViews>
    <sheetView workbookViewId="0"/>
  </sheetViews>
  <sheetFormatPr defaultRowHeight="15"/>
  <sheetData/>
  <pageMargins left="0.7" right="0.7" top="0.75" bottom="0.75" header="0.3" footer="0.3"/>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D8805-AF60-4F45-8100-76A103DA7C23}">
  <dimension ref="A1"/>
  <sheetViews>
    <sheetView workbookViewId="0"/>
  </sheetViews>
  <sheetFormatPr defaultRowHeight="15"/>
  <sheetData/>
  <pageMargins left="0.7" right="0.7" top="0.75" bottom="0.75" header="0.3" footer="0.3"/>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B98C0-0239-483F-B605-C8580991D4C3}">
  <dimension ref="A1"/>
  <sheetViews>
    <sheetView workbookViewId="0"/>
  </sheetViews>
  <sheetFormatPr defaultRowHeight="15"/>
  <sheetData/>
  <pageMargins left="0.7" right="0.7" top="0.75" bottom="0.75" header="0.3" footer="0.3"/>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2F86A-EFD3-4006-967C-46FD8FEC8AB4}">
  <dimension ref="A1"/>
  <sheetViews>
    <sheetView workbookViewId="0"/>
  </sheetViews>
  <sheetFormatPr defaultRowHeight="15"/>
  <sheetData/>
  <pageMargins left="0.7" right="0.7" top="0.75" bottom="0.75" header="0.3" footer="0.3"/>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7EBB1-F3F8-4B56-98B9-4C3A61A5FFAE}">
  <dimension ref="A1"/>
  <sheetViews>
    <sheetView workbookViewId="0"/>
  </sheetViews>
  <sheetFormatPr defaultRowHeight="15"/>
  <sheetData/>
  <pageMargins left="0.7" right="0.7" top="0.75" bottom="0.75" header="0.3" footer="0.3"/>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2B6B7-0E73-4FAF-B8FE-034B693EA92B}">
  <dimension ref="A1"/>
  <sheetViews>
    <sheetView workbookViewId="0"/>
  </sheetViews>
  <sheetFormatPr defaultRowHeight="15"/>
  <sheetData/>
  <pageMargins left="0.7" right="0.7" top="0.75" bottom="0.75" header="0.3" footer="0.3"/>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A89E3-ECCB-48AC-8018-D64FA98E1820}">
  <dimension ref="A1"/>
  <sheetViews>
    <sheetView workbookViewId="0"/>
  </sheetViews>
  <sheetFormatPr defaultRowHeight="15"/>
  <sheetData/>
  <pageMargins left="0.7" right="0.7" top="0.75" bottom="0.75" header="0.3" footer="0.3"/>
</worksheet>
</file>

<file path=xl/worksheets/sheet2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0316D-466B-4B4C-A22D-F73D4D5DA373}">
  <dimension ref="A1:Q111"/>
  <sheetViews>
    <sheetView topLeftCell="C50" zoomScale="115" zoomScaleNormal="115" zoomScaleSheetLayoutView="100" workbookViewId="0">
      <selection activeCell="H77" sqref="H77"/>
    </sheetView>
  </sheetViews>
  <sheetFormatPr defaultRowHeight="15"/>
  <cols>
    <col min="1" max="1" width="9.125" style="606" customWidth="1"/>
    <col min="2" max="2" width="6.125" style="606" customWidth="1"/>
    <col min="3" max="3" width="7" style="606" customWidth="1"/>
    <col min="4" max="4" width="3.75" style="606" customWidth="1"/>
    <col min="5" max="5" width="39" style="606" customWidth="1"/>
    <col min="6" max="6" width="6.75" style="606" customWidth="1"/>
    <col min="7" max="7" width="27.875" style="606" customWidth="1"/>
    <col min="8" max="8" width="14.625" style="606" customWidth="1"/>
    <col min="9" max="9" width="14.375" style="606" customWidth="1"/>
    <col min="10" max="10" width="15.375" style="606" customWidth="1"/>
    <col min="11" max="11" width="3.5" style="705" customWidth="1"/>
    <col min="12" max="12" width="29.375" style="606" customWidth="1"/>
    <col min="13" max="13" width="16.25" style="606" bestFit="1" customWidth="1"/>
    <col min="14" max="14" width="15.25" style="606" customWidth="1"/>
    <col min="15" max="16384" width="9" style="606"/>
  </cols>
  <sheetData>
    <row r="1" spans="1:17" ht="24.75" customHeight="1">
      <c r="A1" s="604"/>
      <c r="B1" s="604"/>
      <c r="C1" s="604"/>
      <c r="D1" s="1178" t="s">
        <v>1935</v>
      </c>
      <c r="E1" s="1178"/>
      <c r="F1" s="1178"/>
      <c r="G1" s="1178"/>
      <c r="H1" s="1178"/>
      <c r="I1" s="1178"/>
      <c r="J1" s="1178"/>
      <c r="K1" s="700"/>
      <c r="L1" s="605"/>
    </row>
    <row r="2" spans="1:17" s="609" customFormat="1" ht="21" customHeight="1">
      <c r="A2" s="607"/>
      <c r="B2" s="607"/>
      <c r="C2" s="607"/>
      <c r="D2" s="1179" t="s">
        <v>1931</v>
      </c>
      <c r="E2" s="1180"/>
      <c r="F2" s="1180"/>
      <c r="G2" s="1180"/>
      <c r="H2" s="1180"/>
      <c r="I2" s="1180"/>
      <c r="J2" s="1180"/>
      <c r="K2" s="701"/>
      <c r="L2" s="608">
        <v>11.250999999999999</v>
      </c>
    </row>
    <row r="3" spans="1:17" ht="2.25" customHeight="1">
      <c r="A3" s="610"/>
      <c r="B3" s="610"/>
      <c r="C3" s="610"/>
      <c r="D3" s="1181"/>
      <c r="E3" s="1181"/>
      <c r="F3" s="1181"/>
      <c r="G3" s="1181"/>
      <c r="H3" s="1181"/>
      <c r="I3" s="1181"/>
      <c r="J3" s="1181"/>
      <c r="K3" s="702"/>
      <c r="L3" s="611"/>
    </row>
    <row r="4" spans="1:17" ht="3" customHeight="1" thickBot="1">
      <c r="A4" s="604"/>
      <c r="B4" s="604"/>
      <c r="C4" s="604"/>
      <c r="D4" s="612"/>
      <c r="E4" s="613"/>
      <c r="F4" s="612"/>
      <c r="G4" s="612"/>
      <c r="H4" s="612"/>
      <c r="I4" s="612"/>
      <c r="J4" s="614"/>
      <c r="K4" s="703"/>
      <c r="L4" s="614"/>
    </row>
    <row r="5" spans="1:17" ht="31.5">
      <c r="A5" s="615" t="s">
        <v>245</v>
      </c>
      <c r="B5" s="615" t="s">
        <v>279</v>
      </c>
      <c r="C5" s="616" t="s">
        <v>280</v>
      </c>
      <c r="D5" s="617" t="s">
        <v>136</v>
      </c>
      <c r="E5" s="618" t="s">
        <v>1799</v>
      </c>
      <c r="F5" s="619" t="s">
        <v>1800</v>
      </c>
      <c r="G5" s="618" t="s">
        <v>1801</v>
      </c>
      <c r="H5" s="1020" t="s">
        <v>1802</v>
      </c>
      <c r="I5" s="1020" t="s">
        <v>1803</v>
      </c>
      <c r="J5" s="1021" t="s">
        <v>1804</v>
      </c>
      <c r="K5" s="699"/>
      <c r="L5" s="620"/>
      <c r="O5" s="606" t="e">
        <f>xl/1.1/10^9</f>
        <v>#REF!</v>
      </c>
      <c r="P5" s="606">
        <v>7</v>
      </c>
      <c r="Q5" s="606">
        <v>3</v>
      </c>
    </row>
    <row r="6" spans="1:17" ht="18" customHeight="1">
      <c r="A6" s="621"/>
      <c r="B6" s="621"/>
      <c r="C6" s="622"/>
      <c r="D6" s="623" t="s">
        <v>189</v>
      </c>
      <c r="E6" s="624" t="s">
        <v>281</v>
      </c>
      <c r="F6" s="625" t="s">
        <v>282</v>
      </c>
      <c r="G6" s="1030" t="e">
        <f>G14</f>
        <v>#REF!</v>
      </c>
      <c r="H6" s="1042" t="e">
        <f>SUM(H16:H29)</f>
        <v>#REF!</v>
      </c>
      <c r="I6" s="1042" t="e">
        <f>SUM(I16:I23)</f>
        <v>#REF!</v>
      </c>
      <c r="J6" s="626" t="e">
        <f>J14</f>
        <v>#REF!</v>
      </c>
      <c r="K6" s="704"/>
      <c r="L6" s="627">
        <v>8070148000</v>
      </c>
      <c r="O6" s="606" t="e">
        <f>FORECAST(O5,P6:Q6,P5:Q5)</f>
        <v>#REF!</v>
      </c>
      <c r="P6" s="606">
        <v>2.1</v>
      </c>
      <c r="Q6" s="606">
        <v>2.8</v>
      </c>
    </row>
    <row r="7" spans="1:17" ht="18" hidden="1" customHeight="1">
      <c r="A7" s="621"/>
      <c r="B7" s="621"/>
      <c r="C7" s="622"/>
      <c r="D7" s="623"/>
      <c r="E7" s="624" t="s">
        <v>1261</v>
      </c>
      <c r="F7" s="628" t="s">
        <v>569</v>
      </c>
      <c r="G7" s="1030" t="str">
        <f>"A"&amp;F8&amp;"+…+A"&amp;F9</f>
        <v>A0+…+A0</v>
      </c>
      <c r="H7" s="1042"/>
      <c r="I7" s="1042"/>
      <c r="J7" s="626">
        <f>SUM(J8:J9)</f>
        <v>0</v>
      </c>
      <c r="K7" s="704"/>
      <c r="L7" s="627"/>
    </row>
    <row r="8" spans="1:17" s="636" customFormat="1" ht="18" hidden="1" customHeight="1">
      <c r="A8" s="629"/>
      <c r="B8" s="629"/>
      <c r="C8" s="630"/>
      <c r="D8" s="631"/>
      <c r="E8" s="632" t="s">
        <v>1262</v>
      </c>
      <c r="F8" s="706">
        <f>IF(OR(J8=0,J8=""),0,1)</f>
        <v>0</v>
      </c>
      <c r="G8" s="1031" t="s">
        <v>283</v>
      </c>
      <c r="H8" s="1043"/>
      <c r="I8" s="1043"/>
      <c r="J8" s="634"/>
      <c r="K8" s="704"/>
      <c r="L8" s="635"/>
    </row>
    <row r="9" spans="1:17" s="636" customFormat="1" ht="18" hidden="1" customHeight="1">
      <c r="A9" s="629"/>
      <c r="B9" s="629"/>
      <c r="C9" s="630"/>
      <c r="D9" s="631"/>
      <c r="E9" s="632" t="s">
        <v>1263</v>
      </c>
      <c r="F9" s="706">
        <f>IF(OR(J9=0,J9=""),F8,F8+1)</f>
        <v>0</v>
      </c>
      <c r="G9" s="1031" t="s">
        <v>283</v>
      </c>
      <c r="H9" s="1043"/>
      <c r="I9" s="1043"/>
      <c r="J9" s="634"/>
      <c r="K9" s="704"/>
      <c r="L9" s="635"/>
    </row>
    <row r="10" spans="1:17" ht="18" hidden="1" customHeight="1">
      <c r="A10" s="637"/>
      <c r="B10" s="637"/>
      <c r="C10" s="638"/>
      <c r="D10" s="639"/>
      <c r="E10" s="624" t="s">
        <v>1264</v>
      </c>
      <c r="F10" s="628" t="s">
        <v>570</v>
      </c>
      <c r="G10" s="1030" t="str">
        <f>"B"&amp;F11&amp;"+…+B"&amp;F13</f>
        <v>B0+…+B0</v>
      </c>
      <c r="H10" s="1042"/>
      <c r="I10" s="1042"/>
      <c r="J10" s="626">
        <f>SUM(J11:J13)</f>
        <v>0</v>
      </c>
      <c r="K10" s="704"/>
      <c r="L10" s="640"/>
    </row>
    <row r="11" spans="1:17" s="636" customFormat="1" ht="18" hidden="1" customHeight="1">
      <c r="A11" s="629"/>
      <c r="B11" s="629"/>
      <c r="C11" s="630"/>
      <c r="D11" s="631"/>
      <c r="E11" s="632" t="s">
        <v>1262</v>
      </c>
      <c r="F11" s="707">
        <f>IF(OR(J11=0,J11=""),0,1)</f>
        <v>0</v>
      </c>
      <c r="G11" s="1031" t="s">
        <v>283</v>
      </c>
      <c r="H11" s="1043"/>
      <c r="I11" s="1043"/>
      <c r="J11" s="634"/>
      <c r="K11" s="704"/>
      <c r="L11" s="635"/>
    </row>
    <row r="12" spans="1:17" s="636" customFormat="1" ht="18" hidden="1" customHeight="1">
      <c r="A12" s="629"/>
      <c r="B12" s="629"/>
      <c r="C12" s="630"/>
      <c r="D12" s="631"/>
      <c r="E12" s="632" t="s">
        <v>1263</v>
      </c>
      <c r="F12" s="707">
        <f>IF(OR(J12=0,J12=""),F11,F11+1)</f>
        <v>0</v>
      </c>
      <c r="G12" s="1031" t="s">
        <v>283</v>
      </c>
      <c r="H12" s="1043"/>
      <c r="I12" s="1043"/>
      <c r="J12" s="634"/>
      <c r="K12" s="704"/>
      <c r="L12" s="641"/>
      <c r="M12" s="642"/>
    </row>
    <row r="13" spans="1:17" s="636" customFormat="1" ht="18" hidden="1" customHeight="1">
      <c r="A13" s="629"/>
      <c r="B13" s="629"/>
      <c r="C13" s="630"/>
      <c r="D13" s="631"/>
      <c r="E13" s="632" t="s">
        <v>1265</v>
      </c>
      <c r="F13" s="707">
        <f>IF(OR(J13=0,J13=""),F12,F12+1)</f>
        <v>0</v>
      </c>
      <c r="G13" s="1031" t="s">
        <v>283</v>
      </c>
      <c r="H13" s="1043"/>
      <c r="I13" s="1043"/>
      <c r="J13" s="634"/>
      <c r="K13" s="704"/>
      <c r="L13" s="635"/>
    </row>
    <row r="14" spans="1:17" ht="18" hidden="1" customHeight="1">
      <c r="A14" s="637"/>
      <c r="B14" s="637"/>
      <c r="C14" s="638"/>
      <c r="D14" s="639"/>
      <c r="E14" s="624" t="s">
        <v>1266</v>
      </c>
      <c r="F14" s="628" t="s">
        <v>282</v>
      </c>
      <c r="G14" s="1030" t="e">
        <f>"A"&amp;F16&amp;"+…+A"&amp;F23</f>
        <v>#REF!</v>
      </c>
      <c r="H14" s="1042"/>
      <c r="I14" s="1042"/>
      <c r="J14" s="626" t="e">
        <f>ROUND(SUM(J16:J23),-3)</f>
        <v>#REF!</v>
      </c>
      <c r="K14" s="704"/>
      <c r="L14" s="643"/>
    </row>
    <row r="15" spans="1:17" ht="18" hidden="1" customHeight="1">
      <c r="A15" s="637"/>
      <c r="B15" s="637"/>
      <c r="C15" s="638"/>
      <c r="D15" s="639"/>
      <c r="E15" s="624" t="s">
        <v>1871</v>
      </c>
      <c r="F15" s="628"/>
      <c r="G15" s="1030"/>
      <c r="H15" s="1042"/>
      <c r="I15" s="1042"/>
      <c r="J15" s="626"/>
      <c r="K15" s="704"/>
      <c r="L15" s="643"/>
    </row>
    <row r="16" spans="1:17" s="636" customFormat="1" ht="18" customHeight="1">
      <c r="A16" s="629"/>
      <c r="B16" s="629"/>
      <c r="C16" s="630">
        <v>10</v>
      </c>
      <c r="D16" s="631"/>
      <c r="E16" s="708" t="s">
        <v>2014</v>
      </c>
      <c r="F16" s="706" t="e">
        <f>IF(OR(J16=0,J16=""),0,1)</f>
        <v>#REF!</v>
      </c>
      <c r="G16" s="1031" t="s">
        <v>283</v>
      </c>
      <c r="H16" s="1043" t="e">
        <f>XLGT!H16</f>
        <v>#REF!</v>
      </c>
      <c r="I16" s="1060" t="e">
        <f t="shared" ref="I16:I19" si="0">IF(H16="","",H16*C16/100)</f>
        <v>#REF!</v>
      </c>
      <c r="J16" s="714" t="e">
        <f>I16+H16</f>
        <v>#REF!</v>
      </c>
      <c r="K16" s="704"/>
      <c r="L16" s="635">
        <f>4*1000*3.2*0.18</f>
        <v>2304</v>
      </c>
    </row>
    <row r="17" spans="1:13" s="636" customFormat="1" ht="18" hidden="1" customHeight="1">
      <c r="A17" s="629"/>
      <c r="B17" s="629"/>
      <c r="C17" s="630">
        <v>10</v>
      </c>
      <c r="D17" s="631"/>
      <c r="E17" s="708" t="s">
        <v>1932</v>
      </c>
      <c r="F17" s="706" t="e">
        <f t="shared" ref="F17:F23" si="1">IF(OR(J17=0,J17=""),F16,F16+1)</f>
        <v>#REF!</v>
      </c>
      <c r="G17" s="1031" t="s">
        <v>283</v>
      </c>
      <c r="H17" s="1043"/>
      <c r="I17" s="1060"/>
      <c r="J17" s="714">
        <f>I17+H17</f>
        <v>0</v>
      </c>
      <c r="K17" s="704"/>
      <c r="L17" s="635">
        <f>39773-38500</f>
        <v>1273</v>
      </c>
      <c r="M17" s="636">
        <f>699/2000</f>
        <v>0.34949999999999998</v>
      </c>
    </row>
    <row r="18" spans="1:13" s="636" customFormat="1" ht="18" customHeight="1">
      <c r="A18" s="629"/>
      <c r="B18" s="629"/>
      <c r="C18" s="630">
        <v>10</v>
      </c>
      <c r="D18" s="631"/>
      <c r="E18" s="708" t="s">
        <v>1930</v>
      </c>
      <c r="F18" s="706" t="e">
        <f t="shared" si="1"/>
        <v>#REF!</v>
      </c>
      <c r="G18" s="1031" t="s">
        <v>283</v>
      </c>
      <c r="H18" s="1043" t="e">
        <f>XLGT!J16</f>
        <v>#REF!</v>
      </c>
      <c r="I18" s="1060" t="e">
        <f t="shared" si="0"/>
        <v>#REF!</v>
      </c>
      <c r="J18" s="714" t="e">
        <f>I18+H18</f>
        <v>#REF!</v>
      </c>
      <c r="K18" s="704"/>
      <c r="L18" s="635">
        <f>39773-38500</f>
        <v>1273</v>
      </c>
      <c r="M18" s="636">
        <f>699/2000</f>
        <v>0.34949999999999998</v>
      </c>
    </row>
    <row r="19" spans="1:13" s="636" customFormat="1" ht="18" customHeight="1">
      <c r="A19" s="629"/>
      <c r="B19" s="629">
        <v>1</v>
      </c>
      <c r="C19" s="630">
        <v>10</v>
      </c>
      <c r="D19" s="631"/>
      <c r="E19" s="1080" t="s">
        <v>1982</v>
      </c>
      <c r="F19" s="706" t="e">
        <f t="shared" si="1"/>
        <v>#REF!</v>
      </c>
      <c r="G19" s="1031" t="s">
        <v>283</v>
      </c>
      <c r="H19" s="1043" t="e">
        <f>XLGT!N16</f>
        <v>#REF!</v>
      </c>
      <c r="I19" s="1060" t="e">
        <f t="shared" si="0"/>
        <v>#REF!</v>
      </c>
      <c r="J19" s="714" t="e">
        <f>I19+H19</f>
        <v>#REF!</v>
      </c>
      <c r="K19" s="704"/>
      <c r="L19" s="635"/>
    </row>
    <row r="20" spans="1:13" s="636" customFormat="1" ht="18" customHeight="1">
      <c r="A20" s="629"/>
      <c r="B20" s="629">
        <v>1</v>
      </c>
      <c r="C20" s="630">
        <v>10</v>
      </c>
      <c r="D20" s="631"/>
      <c r="E20" s="1080" t="s">
        <v>2010</v>
      </c>
      <c r="F20" s="706" t="e">
        <f t="shared" si="1"/>
        <v>#REF!</v>
      </c>
      <c r="G20" s="1031" t="s">
        <v>283</v>
      </c>
      <c r="H20" s="1043" t="e">
        <f>XLGT!O16</f>
        <v>#REF!</v>
      </c>
      <c r="I20" s="1060" t="e">
        <f t="shared" ref="I20:I23" si="2">IF(H20="","",H20*C20/100)</f>
        <v>#REF!</v>
      </c>
      <c r="J20" s="714" t="e">
        <f t="shared" ref="J20:J21" si="3">I20+H20</f>
        <v>#REF!</v>
      </c>
      <c r="K20" s="704"/>
      <c r="L20" s="635"/>
    </row>
    <row r="21" spans="1:13" s="636" customFormat="1" ht="18" customHeight="1">
      <c r="A21" s="629"/>
      <c r="B21" s="629"/>
      <c r="C21" s="630">
        <v>10</v>
      </c>
      <c r="D21" s="631"/>
      <c r="E21" s="708" t="s">
        <v>2009</v>
      </c>
      <c r="F21" s="706" t="e">
        <f t="shared" si="1"/>
        <v>#REF!</v>
      </c>
      <c r="G21" s="1031" t="s">
        <v>283</v>
      </c>
      <c r="H21" s="1043" t="e">
        <f>XLGT!P16</f>
        <v>#REF!</v>
      </c>
      <c r="I21" s="1060" t="e">
        <f t="shared" si="2"/>
        <v>#REF!</v>
      </c>
      <c r="J21" s="714" t="e">
        <f t="shared" si="3"/>
        <v>#REF!</v>
      </c>
      <c r="K21" s="704"/>
      <c r="L21" s="641" t="e">
        <f>J21/1.2*0.35</f>
        <v>#REF!</v>
      </c>
      <c r="M21" s="709">
        <f>850*1600000</f>
        <v>1360000000</v>
      </c>
    </row>
    <row r="22" spans="1:13" s="636" customFormat="1" ht="18" hidden="1" customHeight="1">
      <c r="A22" s="629"/>
      <c r="B22" s="629"/>
      <c r="C22" s="630">
        <v>10</v>
      </c>
      <c r="D22" s="631"/>
      <c r="E22" s="708" t="s">
        <v>1936</v>
      </c>
      <c r="F22" s="706" t="e">
        <f t="shared" si="1"/>
        <v>#REF!</v>
      </c>
      <c r="G22" s="1031" t="s">
        <v>283</v>
      </c>
      <c r="H22" s="1043"/>
      <c r="I22" s="1060" t="str">
        <f t="shared" si="2"/>
        <v/>
      </c>
      <c r="J22" s="714"/>
      <c r="K22" s="704"/>
      <c r="L22" s="641"/>
      <c r="M22" s="709"/>
    </row>
    <row r="23" spans="1:13" s="636" customFormat="1" ht="18" hidden="1" customHeight="1">
      <c r="A23" s="629"/>
      <c r="B23" s="629"/>
      <c r="C23" s="630">
        <v>10</v>
      </c>
      <c r="D23" s="1078"/>
      <c r="E23" s="1080" t="s">
        <v>1937</v>
      </c>
      <c r="F23" s="706" t="e">
        <f t="shared" si="1"/>
        <v>#REF!</v>
      </c>
      <c r="G23" s="1079" t="s">
        <v>283</v>
      </c>
      <c r="H23" s="1043"/>
      <c r="I23" s="1060" t="str">
        <f t="shared" si="2"/>
        <v/>
      </c>
      <c r="J23" s="714"/>
      <c r="K23" s="704"/>
      <c r="L23" s="1064">
        <f>15*0.87</f>
        <v>13.05</v>
      </c>
    </row>
    <row r="24" spans="1:13" ht="18" hidden="1" customHeight="1">
      <c r="A24" s="637"/>
      <c r="B24" s="637"/>
      <c r="C24" s="638"/>
      <c r="D24" s="645"/>
      <c r="E24" s="624" t="s">
        <v>1267</v>
      </c>
      <c r="F24" s="706" t="e">
        <f t="shared" ref="F24:F29" si="4">IF(OR(J24=0,J24=""),F23,F23+1)</f>
        <v>#REF!</v>
      </c>
      <c r="G24" s="1030" t="e">
        <f>"D"&amp;F25&amp;"+…+D"&amp;F26</f>
        <v>#REF!</v>
      </c>
      <c r="H24" s="1004"/>
      <c r="I24" s="1004"/>
      <c r="J24" s="626">
        <f>SUM(J25:J26)</f>
        <v>0</v>
      </c>
      <c r="K24" s="704"/>
      <c r="L24" s="643"/>
    </row>
    <row r="25" spans="1:13" s="636" customFormat="1" ht="18" hidden="1" customHeight="1">
      <c r="A25" s="629"/>
      <c r="B25" s="629"/>
      <c r="C25" s="630"/>
      <c r="D25" s="644"/>
      <c r="E25" s="632" t="s">
        <v>1262</v>
      </c>
      <c r="F25" s="706" t="e">
        <f t="shared" si="4"/>
        <v>#REF!</v>
      </c>
      <c r="G25" s="1031" t="s">
        <v>283</v>
      </c>
      <c r="H25" s="1005"/>
      <c r="I25" s="1005"/>
      <c r="J25" s="634"/>
      <c r="K25" s="704"/>
      <c r="L25" s="635"/>
    </row>
    <row r="26" spans="1:13" s="636" customFormat="1" ht="18" hidden="1" customHeight="1">
      <c r="A26" s="629"/>
      <c r="B26" s="629"/>
      <c r="C26" s="630"/>
      <c r="D26" s="644"/>
      <c r="E26" s="632" t="s">
        <v>1263</v>
      </c>
      <c r="F26" s="706" t="e">
        <f t="shared" si="4"/>
        <v>#REF!</v>
      </c>
      <c r="G26" s="1031" t="s">
        <v>283</v>
      </c>
      <c r="H26" s="1005"/>
      <c r="I26" s="1005"/>
      <c r="J26" s="634"/>
      <c r="K26" s="704"/>
      <c r="L26" s="635"/>
    </row>
    <row r="27" spans="1:13" ht="18" hidden="1" customHeight="1">
      <c r="A27" s="637"/>
      <c r="B27" s="637"/>
      <c r="C27" s="638"/>
      <c r="D27" s="645"/>
      <c r="E27" s="624" t="s">
        <v>1268</v>
      </c>
      <c r="F27" s="706" t="e">
        <f t="shared" si="4"/>
        <v>#REF!</v>
      </c>
      <c r="G27" s="1030" t="e">
        <f>"E"&amp;F28&amp;"+…+E"&amp;F29</f>
        <v>#REF!</v>
      </c>
      <c r="H27" s="1004"/>
      <c r="I27" s="1004"/>
      <c r="J27" s="626">
        <f>SUM(J28:J29)</f>
        <v>0</v>
      </c>
      <c r="K27" s="704"/>
      <c r="L27" s="643"/>
    </row>
    <row r="28" spans="1:13" s="636" customFormat="1" ht="18" hidden="1" customHeight="1">
      <c r="A28" s="629"/>
      <c r="B28" s="629"/>
      <c r="C28" s="630"/>
      <c r="D28" s="644"/>
      <c r="E28" s="632" t="s">
        <v>1262</v>
      </c>
      <c r="F28" s="706" t="e">
        <f t="shared" si="4"/>
        <v>#REF!</v>
      </c>
      <c r="G28" s="1031" t="s">
        <v>283</v>
      </c>
      <c r="H28" s="1005"/>
      <c r="I28" s="1005"/>
      <c r="J28" s="634"/>
      <c r="K28" s="704"/>
      <c r="L28" s="635"/>
    </row>
    <row r="29" spans="1:13" s="636" customFormat="1" ht="18" hidden="1" customHeight="1">
      <c r="A29" s="629"/>
      <c r="B29" s="629"/>
      <c r="C29" s="630"/>
      <c r="D29" s="644"/>
      <c r="E29" s="632" t="s">
        <v>1263</v>
      </c>
      <c r="F29" s="706" t="e">
        <f t="shared" si="4"/>
        <v>#REF!</v>
      </c>
      <c r="G29" s="1031" t="s">
        <v>283</v>
      </c>
      <c r="H29" s="1005"/>
      <c r="I29" s="1005"/>
      <c r="J29" s="634"/>
      <c r="K29" s="704"/>
      <c r="L29" s="635"/>
    </row>
    <row r="30" spans="1:13" ht="18" customHeight="1">
      <c r="A30" s="637"/>
      <c r="B30" s="637"/>
      <c r="C30" s="638"/>
      <c r="D30" s="646" t="s">
        <v>0</v>
      </c>
      <c r="E30" s="647" t="s">
        <v>0</v>
      </c>
      <c r="F30" s="810"/>
      <c r="G30" s="1032" t="s">
        <v>0</v>
      </c>
      <c r="H30" s="1006"/>
      <c r="I30" s="1006"/>
      <c r="J30" s="648"/>
      <c r="K30" s="704"/>
      <c r="L30" s="643"/>
    </row>
    <row r="31" spans="1:13" ht="18" customHeight="1">
      <c r="A31" s="637"/>
      <c r="B31" s="637"/>
      <c r="C31" s="638"/>
      <c r="D31" s="649" t="s">
        <v>202</v>
      </c>
      <c r="E31" s="650" t="s">
        <v>1269</v>
      </c>
      <c r="F31" s="651" t="s">
        <v>284</v>
      </c>
      <c r="G31" s="1081" t="e">
        <f>IF(J31=0,"","Q"&amp;1&amp;"+…+"&amp;"Q"&amp;COUNT(J32:J34))</f>
        <v>#REF!</v>
      </c>
      <c r="H31" s="1082" t="e">
        <f>SUM(H32:H34)</f>
        <v>#REF!</v>
      </c>
      <c r="I31" s="1082" t="e">
        <f>SUM(I32:I34)</f>
        <v>#REF!</v>
      </c>
      <c r="J31" s="1083" t="e">
        <f>ROUND(SUM(J32:J33),-3)</f>
        <v>#REF!</v>
      </c>
      <c r="K31" s="704"/>
      <c r="L31" s="643"/>
    </row>
    <row r="32" spans="1:13" ht="18" customHeight="1">
      <c r="A32" s="637" t="s">
        <v>1059</v>
      </c>
      <c r="B32" s="637">
        <v>1</v>
      </c>
      <c r="C32" s="638"/>
      <c r="D32" s="652"/>
      <c r="E32" s="661" t="str">
        <f>IF(A32="","",VLOOKUP(A32,HS!$A$12:$E$149,2,0))</f>
        <v>* Chi phÝ qu¶n lý dù ¸n</v>
      </c>
      <c r="F32" s="653">
        <f>COUNT($B$31:B32)</f>
        <v>1</v>
      </c>
      <c r="G32" s="1033" t="e">
        <f>IF(A32="","",IF(B32=1,VLOOKUP(A32,HS!$A$12:$E$149,4,0)&amp;IF(C32=0,"","*"&amp;ROUND((100+C32)/100,2)),VLOOKUP(A32,HS!$A$12:$E$149,4,0)&amp;IF(C32=0,"","*"&amp;ROUND((100+C32)/100,2))&amp;"*"&amp;B32))</f>
        <v>#REF!</v>
      </c>
      <c r="H32" s="1043" t="e">
        <f>IF(A32="","",VLOOKUP(A32,HS!$A$12:$E$149,5,0)*B32)</f>
        <v>#REF!</v>
      </c>
      <c r="I32" s="1060" t="e">
        <f t="shared" ref="I32" si="5">IF(H32="","",H32*C32/100)</f>
        <v>#REF!</v>
      </c>
      <c r="J32" s="654" t="e">
        <f>IF(A32="","",VLOOKUP(A32,HS!$A$12:$E$149,5,0)*B32*(100+C32)/100)</f>
        <v>#REF!</v>
      </c>
      <c r="K32" s="704"/>
      <c r="L32" s="643" t="e">
        <f>$H$6*3.097/100</f>
        <v>#REF!</v>
      </c>
    </row>
    <row r="33" spans="1:16" ht="18" hidden="1" customHeight="1">
      <c r="A33" s="637"/>
      <c r="B33" s="637"/>
      <c r="C33" s="638"/>
      <c r="D33" s="623"/>
      <c r="E33" s="1074" t="str">
        <f>IF(A33="","",VLOOKUP(A33,HS!$A$12:$E$149,2,0))</f>
        <v/>
      </c>
      <c r="F33" s="1075">
        <f>COUNT($B$31:B33)</f>
        <v>1</v>
      </c>
      <c r="G33" s="1076" t="str">
        <f>IF(A33="","",IF(B33=1,VLOOKUP(A33,HS!$A$12:$E$149,4,0)&amp;IF(C33=0,"","*"&amp;ROUND((100+C33)/100,2)),VLOOKUP(A33,HS!$A$12:$E$149,4,0)&amp;IF(C33=0,"","*"&amp;ROUND((100+C33)/100,2))&amp;"*"&amp;B33))</f>
        <v/>
      </c>
      <c r="H33" s="1009"/>
      <c r="I33" s="1009"/>
      <c r="J33" s="1077" t="str">
        <f>IF(A33="","",VLOOKUP(A33,HS!$A$12:$E$149,5,0)*B33*(100+C33)/100)</f>
        <v/>
      </c>
      <c r="K33" s="704"/>
      <c r="L33" s="643"/>
    </row>
    <row r="34" spans="1:16" ht="13.5" customHeight="1">
      <c r="A34" s="637"/>
      <c r="B34" s="637"/>
      <c r="C34" s="638"/>
      <c r="D34" s="655" t="s">
        <v>0</v>
      </c>
      <c r="E34" s="656" t="s">
        <v>0</v>
      </c>
      <c r="F34" s="657" t="s">
        <v>0</v>
      </c>
      <c r="G34" s="1034" t="s">
        <v>0</v>
      </c>
      <c r="H34" s="1008"/>
      <c r="I34" s="1008"/>
      <c r="J34" s="658"/>
      <c r="K34" s="704"/>
      <c r="L34" s="643"/>
    </row>
    <row r="35" spans="1:16" ht="18" customHeight="1">
      <c r="A35" s="637"/>
      <c r="B35" s="637"/>
      <c r="C35" s="638"/>
      <c r="D35" s="623" t="s">
        <v>213</v>
      </c>
      <c r="E35" s="624" t="s">
        <v>285</v>
      </c>
      <c r="F35" s="659" t="s">
        <v>286</v>
      </c>
      <c r="G35" s="1030" t="e">
        <f>"V"&amp;F36&amp;"+…+V"&amp;F46</f>
        <v>#REF!</v>
      </c>
      <c r="H35" s="1042" t="e">
        <f>SUM(H36:H46)</f>
        <v>#REF!</v>
      </c>
      <c r="I35" s="1042" t="e">
        <f>SUM(I36:I46)</f>
        <v>#REF!</v>
      </c>
      <c r="J35" s="626" t="e">
        <f>ROUND(SUM(J36:J42),-3)</f>
        <v>#REF!</v>
      </c>
      <c r="K35" s="704"/>
      <c r="L35" s="660"/>
    </row>
    <row r="36" spans="1:16" ht="18" customHeight="1">
      <c r="A36" s="637" t="s">
        <v>1189</v>
      </c>
      <c r="B36" s="637">
        <v>1</v>
      </c>
      <c r="C36" s="638">
        <v>10</v>
      </c>
      <c r="D36" s="623"/>
      <c r="E36" s="661" t="str">
        <f>IF(A36="","",VLOOKUP(A36,HS!$A$12:$E$149,2,0))</f>
        <v xml:space="preserve">  - Chi phÝ kh¶o s¸t ®Þa h×nh </v>
      </c>
      <c r="F36" s="633" t="e">
        <f>IF(OR(J36=0,J36=""),0,1)</f>
        <v>#REF!</v>
      </c>
      <c r="G36" s="1033" t="s">
        <v>276</v>
      </c>
      <c r="H36" s="1043" t="e">
        <f>IF(A36="","",VLOOKUP(A36,HS!$A$12:$E$149,5,0)*B36)</f>
        <v>#REF!</v>
      </c>
      <c r="I36" s="1060" t="e">
        <f t="shared" ref="I36:I47" si="6">IF(H36="","",H36*C36/100)</f>
        <v>#REF!</v>
      </c>
      <c r="J36" s="654" t="e">
        <f>IF(A36="","",VLOOKUP(A36,HS!$A$12:$E$149,5,0)*B36*(100+C36)/100)</f>
        <v>#REF!</v>
      </c>
      <c r="K36" s="704"/>
      <c r="L36" s="662"/>
      <c r="N36" s="606">
        <v>3</v>
      </c>
      <c r="O36" s="606">
        <v>3.25</v>
      </c>
      <c r="P36" s="606">
        <v>5</v>
      </c>
    </row>
    <row r="37" spans="1:16" ht="18" customHeight="1">
      <c r="A37" s="637" t="s">
        <v>1087</v>
      </c>
      <c r="B37" s="637">
        <v>1</v>
      </c>
      <c r="C37" s="638">
        <v>10</v>
      </c>
      <c r="D37" s="623"/>
      <c r="E37" s="661" t="str">
        <f>IF(A37="","",VLOOKUP(A37,HS!$A$12:$E$149,2,0))</f>
        <v xml:space="preserve">  - Chi phÝ lËp B¸o c¸o KTKT</v>
      </c>
      <c r="F37" s="633" t="e">
        <f t="shared" ref="F37:F40" si="7">IF(OR(J37=0,J37=""),F36,F36+1)</f>
        <v>#REF!</v>
      </c>
      <c r="G37" s="1033" t="e">
        <f>IF(A37="","",IF(B37=1,VLOOKUP(A37,HS!$A$12:$E$149,4,0)&amp;IF(C37=0,"","*"&amp;ROUND((100+C37)/100,2)),VLOOKUP(A37,HS!$A$12:$E$149,4,0)&amp;IF(C37=0,"","*"&amp;ROUND((100+C37)/100,2))&amp;"*"&amp;B37))</f>
        <v>#REF!</v>
      </c>
      <c r="H37" s="1043" t="e">
        <f>IF(A37="","",VLOOKUP(A37,HS!$A$12:$E$149,5,0)*B37)</f>
        <v>#REF!</v>
      </c>
      <c r="I37" s="1060" t="e">
        <f t="shared" si="6"/>
        <v>#REF!</v>
      </c>
      <c r="J37" s="654" t="e">
        <f>IF(A37="","",VLOOKUP(A37,HS!$A$12:$E$149,5,0)*B37*(100+C37)/100)</f>
        <v>#REF!</v>
      </c>
      <c r="K37" s="704"/>
      <c r="L37" s="662"/>
    </row>
    <row r="38" spans="1:16" ht="18" hidden="1" customHeight="1">
      <c r="A38" s="637"/>
      <c r="B38" s="637">
        <v>1</v>
      </c>
      <c r="C38" s="638">
        <v>10</v>
      </c>
      <c r="D38" s="623" t="s">
        <v>0</v>
      </c>
      <c r="E38" s="661" t="str">
        <f>IF(A38="","",VLOOKUP(A38,HS!$A$12:$E$149,2,0))</f>
        <v/>
      </c>
      <c r="F38" s="633" t="e">
        <f t="shared" si="7"/>
        <v>#REF!</v>
      </c>
      <c r="G38" s="1033" t="str">
        <f>IF(A38="","",IF(B38=1,VLOOKUP(A38,HS!$A$12:$E$149,4,0)&amp;IF(C38=0,"","*"&amp;ROUND((100+C38)/100,2)),VLOOKUP(A38,HS!$A$12:$E$149,4,0)&amp;IF(C38=0,"","*"&amp;ROUND((100+C38)/100,2))&amp;"*"&amp;B38))</f>
        <v/>
      </c>
      <c r="H38" s="1043" t="str">
        <f>IF(A38="","",VLOOKUP(A38,HS!$A$12:$E$149,5,0)*B38)</f>
        <v/>
      </c>
      <c r="I38" s="1060" t="str">
        <f t="shared" si="6"/>
        <v/>
      </c>
      <c r="J38" s="654" t="str">
        <f>IF(A38="","",VLOOKUP(A38,HS!$A$12:$E$149,5,0)*B38*(100+C38)/100)</f>
        <v/>
      </c>
      <c r="K38" s="704"/>
      <c r="L38" s="662"/>
    </row>
    <row r="39" spans="1:16" ht="18" customHeight="1">
      <c r="A39" s="637" t="s">
        <v>1135</v>
      </c>
      <c r="B39" s="637">
        <v>1</v>
      </c>
      <c r="C39" s="638">
        <v>10</v>
      </c>
      <c r="D39" s="623"/>
      <c r="E39" s="661" t="str">
        <f>IF(A39="","",VLOOKUP(A39,HS!$A$12:$E$149,2,0))</f>
        <v xml:space="preserve">  - Chi phÝ thÈm tra TK BVTC (CT Giao th«ng)</v>
      </c>
      <c r="F39" s="633" t="e">
        <f t="shared" si="7"/>
        <v>#REF!</v>
      </c>
      <c r="G39" s="1033" t="e">
        <f>IF(A39="","",IF(B39=1,VLOOKUP(A39,HS!$A$12:$E$149,4,0)&amp;IF(C39=0,"","*"&amp;ROUND((100+C39)/100,2)),VLOOKUP(A39,HS!$A$12:$E$149,4,0)&amp;IF(C39=0,"","*"&amp;ROUND((100+C39)/100,2))&amp;"*"&amp;B39))</f>
        <v>#REF!</v>
      </c>
      <c r="H39" s="1043" t="e">
        <f>IF(A39="","",VLOOKUP(A39,HS!$A$12:$E$149,5,0)*B39)</f>
        <v>#REF!</v>
      </c>
      <c r="I39" s="1060" t="e">
        <f t="shared" si="6"/>
        <v>#REF!</v>
      </c>
      <c r="J39" s="654" t="e">
        <f>IF(A39="","",VLOOKUP(A39,HS!$A$12:$E$149,5,0)*B39*(100+C39)/100)</f>
        <v>#REF!</v>
      </c>
      <c r="K39" s="704"/>
      <c r="L39" s="662"/>
    </row>
    <row r="40" spans="1:16" ht="18" customHeight="1">
      <c r="A40" s="637" t="s">
        <v>1145</v>
      </c>
      <c r="B40" s="637">
        <v>1</v>
      </c>
      <c r="C40" s="638">
        <v>10</v>
      </c>
      <c r="D40" s="623"/>
      <c r="E40" s="661" t="str">
        <f>IF(A40="","",VLOOKUP(A40,HS!$A$12:$E$149,2,0))</f>
        <v xml:space="preserve">  - Chi phÝ thÈm tra Dù to¸n (CT Giao th«ng)</v>
      </c>
      <c r="F40" s="633" t="e">
        <f t="shared" si="7"/>
        <v>#REF!</v>
      </c>
      <c r="G40" s="1033" t="e">
        <f>IF(A40="","",IF(B40=1,VLOOKUP(A40,HS!$A$12:$E$149,4,0)&amp;IF(C40=0,"","*"&amp;ROUND((100+C40)/100,2)),VLOOKUP(A40,HS!$A$12:$E$149,4,0)&amp;IF(C40=0,"","*"&amp;ROUND((100+C40)/100,2))&amp;"*"&amp;B40))</f>
        <v>#REF!</v>
      </c>
      <c r="H40" s="1043" t="e">
        <f>IF(A40="","",VLOOKUP(A40,HS!$A$12:$E$149,5,0)*B40)</f>
        <v>#REF!</v>
      </c>
      <c r="I40" s="1060" t="e">
        <f t="shared" ref="I40:I41" si="8">IF(H40="","",H40*C40/100)</f>
        <v>#REF!</v>
      </c>
      <c r="J40" s="654" t="e">
        <f>IF(A40="","",VLOOKUP(A40,HS!$A$12:$E$149,5,0)*B40*(100+C40)/100)</f>
        <v>#REF!</v>
      </c>
      <c r="K40" s="704"/>
      <c r="L40" s="662"/>
    </row>
    <row r="41" spans="1:16" ht="18" customHeight="1">
      <c r="A41" s="637" t="s">
        <v>1155</v>
      </c>
      <c r="B41" s="637">
        <v>1</v>
      </c>
      <c r="C41" s="638">
        <v>10</v>
      </c>
      <c r="D41" s="623"/>
      <c r="E41" s="661" t="str">
        <f>IF(A41="","",VLOOKUP(A41,HS!$A$12:$E$149,2,0))</f>
        <v xml:space="preserve">  - Chi phÝ gi¸m s¸t x©y dùng</v>
      </c>
      <c r="F41" s="633" t="e">
        <f t="shared" ref="F41:F46" si="9">IF(OR(J41=0,J41=""),F40,F40+1)</f>
        <v>#REF!</v>
      </c>
      <c r="G41" s="1033" t="e">
        <f>IF(A41="","",IF(B41=1,VLOOKUP(A41,HS!$A$12:$E$149,4,0)&amp;IF(C41=0,"","*"&amp;ROUND((100+C41)/100,2)),VLOOKUP(A41,HS!$A$12:$E$149,4,0)&amp;IF(C41=0,"","*"&amp;ROUND((100+C41)/100,2))&amp;"*"&amp;B41))</f>
        <v>#REF!</v>
      </c>
      <c r="H41" s="1043" t="e">
        <f>IF(A41="","",VLOOKUP(A41,HS!$A$12:$E$149,5,0)*B41)</f>
        <v>#REF!</v>
      </c>
      <c r="I41" s="1060" t="e">
        <f t="shared" si="8"/>
        <v>#REF!</v>
      </c>
      <c r="J41" s="654" t="e">
        <f>IF(A41="","",VLOOKUP(A41,HS!$A$12:$E$149,5,0)*B41*(100+C41)/100)</f>
        <v>#REF!</v>
      </c>
      <c r="K41" s="704"/>
      <c r="L41" s="662"/>
    </row>
    <row r="42" spans="1:16" ht="18" customHeight="1">
      <c r="A42" s="637" t="s">
        <v>1174</v>
      </c>
      <c r="B42" s="637">
        <v>1</v>
      </c>
      <c r="C42" s="638">
        <v>10</v>
      </c>
      <c r="D42" s="663"/>
      <c r="E42" s="661" t="str">
        <f>IF(A42="","",VLOOKUP(A42,HS!$A$12:$E$149,2,0))</f>
        <v xml:space="preserve">  - LËp Hå s¬ mêi thÇu vµ ®¸nh gi¸ HSDT XL</v>
      </c>
      <c r="F42" s="633" t="e">
        <f t="shared" ref="F42" si="10">IF(OR(J42=0,J42=""),F41,F41+1)</f>
        <v>#REF!</v>
      </c>
      <c r="G42" s="1033" t="e">
        <f>IF(A42="","",IF(B42=1,VLOOKUP(A42,HS!$A$12:$E$149,4,0)&amp;IF(C42=0,"","*"&amp;ROUND((100+C42)/100,2)),VLOOKUP(A42,HS!$A$12:$E$149,4,0)&amp;IF(C42=0,"","*"&amp;ROUND((100+C42)/100,2))&amp;"*"&amp;B42))</f>
        <v>#REF!</v>
      </c>
      <c r="H42" s="1043" t="e">
        <f>IF(A42="","",VLOOKUP(A42,HS!$A$12:$E$149,5,0)*B42)</f>
        <v>#REF!</v>
      </c>
      <c r="I42" s="1060" t="e">
        <f t="shared" ref="I42" si="11">IF(H42="","",H42*C42/100)</f>
        <v>#REF!</v>
      </c>
      <c r="J42" s="654" t="e">
        <f>IF(A42="","",VLOOKUP(A42,HS!$A$12:$E$149,5,0)*B42*(100+C42)/100)</f>
        <v>#REF!</v>
      </c>
      <c r="K42" s="704"/>
      <c r="L42" s="643"/>
    </row>
    <row r="43" spans="1:16" ht="18" hidden="1" customHeight="1">
      <c r="A43" s="637"/>
      <c r="B43" s="637"/>
      <c r="C43" s="638"/>
      <c r="D43" s="663"/>
      <c r="E43" s="845" t="s">
        <v>1916</v>
      </c>
      <c r="F43" s="633" t="e">
        <f t="shared" ref="F43" si="12">IF(OR(J43=0,J43=""),F42,F42+1)</f>
        <v>#REF!</v>
      </c>
      <c r="G43" s="1033" t="s">
        <v>1678</v>
      </c>
      <c r="H43" s="1043"/>
      <c r="I43" s="1044"/>
      <c r="J43" s="664">
        <f>I43+H43</f>
        <v>0</v>
      </c>
      <c r="K43" s="704"/>
      <c r="L43" s="643"/>
    </row>
    <row r="44" spans="1:16" ht="18" hidden="1" customHeight="1">
      <c r="A44" s="637"/>
      <c r="B44" s="637"/>
      <c r="C44" s="638"/>
      <c r="D44" s="663"/>
      <c r="E44" s="661" t="str">
        <f>IF(A44="","",VLOOKUP(A44,HS!$A$12:$E$149,2,0))</f>
        <v/>
      </c>
      <c r="F44" s="633" t="e">
        <f t="shared" si="9"/>
        <v>#REF!</v>
      </c>
      <c r="G44" s="1033" t="str">
        <f>IF(A44="","",IF(B44=1,VLOOKUP(A44,HS!$A$12:$E$149,4,0)&amp;IF(C44=0,"","*"&amp;ROUND((100+C44)/100,2)),VLOOKUP(A44,HS!$A$12:$E$149,4,0)&amp;IF(C44=0,"","*"&amp;ROUND((100+C44)/100,2))&amp;"*"&amp;B44))</f>
        <v/>
      </c>
      <c r="H44" s="1009"/>
      <c r="I44" s="1060" t="str">
        <f t="shared" si="6"/>
        <v/>
      </c>
      <c r="J44" s="664" t="str">
        <f>IF(A44="","",VLOOKUP(A44,HS!$A$12:$E$149,5,0)*B44*(100+C44)/100)</f>
        <v/>
      </c>
      <c r="K44" s="704"/>
      <c r="L44" s="643"/>
    </row>
    <row r="45" spans="1:16" ht="18" hidden="1" customHeight="1">
      <c r="A45" s="637"/>
      <c r="B45" s="637"/>
      <c r="C45" s="638"/>
      <c r="D45" s="663"/>
      <c r="E45" s="661" t="str">
        <f>IF(A45="","",VLOOKUP(A45,HS!$A$12:$E$149,2,0))</f>
        <v/>
      </c>
      <c r="F45" s="633" t="e">
        <f t="shared" si="9"/>
        <v>#REF!</v>
      </c>
      <c r="G45" s="1033" t="str">
        <f>IF(A45="","",IF(B45=1,VLOOKUP(A45,HS!$A$12:$E$149,4,0)&amp;IF(C45=0,"","*"&amp;ROUND((100+C45)/100,2)),VLOOKUP(A45,HS!$A$12:$E$149,4,0)&amp;IF(C45=0,"","*"&amp;ROUND((100+C45)/100,2))&amp;"*"&amp;B45))</f>
        <v/>
      </c>
      <c r="H45" s="1009"/>
      <c r="I45" s="1060" t="str">
        <f t="shared" si="6"/>
        <v/>
      </c>
      <c r="J45" s="664" t="str">
        <f>IF(A45="","",VLOOKUP(A45,HS!$A$12:$E$149,5,0)*B45*(100+C45)/100)</f>
        <v/>
      </c>
      <c r="K45" s="704"/>
      <c r="L45" s="643"/>
    </row>
    <row r="46" spans="1:16" ht="18" hidden="1" customHeight="1">
      <c r="A46" s="637"/>
      <c r="B46" s="637"/>
      <c r="C46" s="638"/>
      <c r="D46" s="663"/>
      <c r="E46" s="661" t="str">
        <f>IF(A46="","",VLOOKUP(A46,HS!$A$12:$E$149,2,0))</f>
        <v/>
      </c>
      <c r="F46" s="633" t="e">
        <f t="shared" si="9"/>
        <v>#REF!</v>
      </c>
      <c r="G46" s="1033" t="str">
        <f>IF(A46="","",IF(B46=1,VLOOKUP(A46,HS!$A$12:$E$149,4,0)&amp;IF(C46=0,"","*"&amp;ROUND((100+C46)/100,2)),VLOOKUP(A46,HS!$A$12:$E$149,4,0)&amp;IF(C46=0,"","*"&amp;ROUND((100+C46)/100,2))&amp;"*"&amp;B46))</f>
        <v/>
      </c>
      <c r="H46" s="1009"/>
      <c r="I46" s="1060" t="str">
        <f t="shared" si="6"/>
        <v/>
      </c>
      <c r="J46" s="664" t="str">
        <f>IF(A46="","",VLOOKUP(A46,HS!$A$12:$E$149,5,0)*B46*(100+C46)/100)</f>
        <v/>
      </c>
      <c r="K46" s="704"/>
      <c r="L46" s="643"/>
    </row>
    <row r="47" spans="1:16" ht="18" customHeight="1">
      <c r="A47" s="637"/>
      <c r="B47" s="637"/>
      <c r="C47" s="638"/>
      <c r="D47" s="655" t="s">
        <v>0</v>
      </c>
      <c r="E47" s="665" t="s">
        <v>0</v>
      </c>
      <c r="F47" s="657" t="s">
        <v>0</v>
      </c>
      <c r="G47" s="1035" t="s">
        <v>0</v>
      </c>
      <c r="H47" s="1010"/>
      <c r="I47" s="1061" t="str">
        <f t="shared" si="6"/>
        <v/>
      </c>
      <c r="J47" s="666" t="s">
        <v>0</v>
      </c>
      <c r="K47" s="704"/>
      <c r="L47" s="667"/>
      <c r="N47" s="606">
        <v>50</v>
      </c>
      <c r="O47" s="606">
        <v>82</v>
      </c>
      <c r="P47" s="606">
        <v>100</v>
      </c>
    </row>
    <row r="48" spans="1:16" ht="18" customHeight="1">
      <c r="A48" s="637"/>
      <c r="B48" s="621"/>
      <c r="C48" s="622"/>
      <c r="D48" s="623" t="s">
        <v>216</v>
      </c>
      <c r="E48" s="668" t="s">
        <v>287</v>
      </c>
      <c r="F48" s="659" t="s">
        <v>288</v>
      </c>
      <c r="G48" s="1030" t="e">
        <f>"K"&amp;F49&amp;"+…+K"&amp;F61</f>
        <v>#REF!</v>
      </c>
      <c r="H48" s="1042" t="e">
        <f>SUM(H49:H56)</f>
        <v>#REF!</v>
      </c>
      <c r="I48" s="1042" t="e">
        <f>SUM(I49:I56)</f>
        <v>#REF!</v>
      </c>
      <c r="J48" s="626" t="e">
        <f>ROUND(SUM(J49:J62),-3)</f>
        <v>#REF!</v>
      </c>
      <c r="K48" s="704"/>
      <c r="L48" s="669"/>
    </row>
    <row r="49" spans="1:16" ht="18" customHeight="1">
      <c r="A49" s="637" t="s">
        <v>1201</v>
      </c>
      <c r="B49" s="621">
        <v>1</v>
      </c>
      <c r="C49" s="622"/>
      <c r="D49" s="670"/>
      <c r="E49" s="661" t="str">
        <f>IF(A49="","",VLOOKUP(A49,HS!$A$12:$E$149,2,0))</f>
        <v xml:space="preserve">  - LÖ phÝ thÈm ®Þnh BC KTKT, DA§T</v>
      </c>
      <c r="F49" s="671">
        <f>IF(OR(J49=0,J49=""),0,1)</f>
        <v>1</v>
      </c>
      <c r="G49" s="1033" t="str">
        <f>IF(A49="","",IF(B49=1,VLOOKUP(A49,HS!$A$12:$E$149,4,0)&amp;IF(C49=0,"","*"&amp;ROUND((100+C49)/100,2)),VLOOKUP(A49,HS!$A$12:$E$149,4,0)&amp;IF(C49=0,"","*"&amp;ROUND((100+C49)/100,2))&amp;"*"&amp;B49))</f>
        <v>TM§T*0,019%</v>
      </c>
      <c r="H49" s="1043">
        <f>IF(A49="","",VLOOKUP(A49,HS!$A$12:$E$149,5,0)*B49)</f>
        <v>2137690</v>
      </c>
      <c r="I49" s="1044">
        <f>IF(H49="","",H49*C49/100)</f>
        <v>0</v>
      </c>
      <c r="J49" s="654">
        <f>IF(A49="","",VLOOKUP(A49,HS!$A$12:$E$149,5,0)*B49*(100+C49)/100)</f>
        <v>2137690</v>
      </c>
      <c r="K49" s="704"/>
      <c r="L49" s="643"/>
    </row>
    <row r="50" spans="1:16" ht="18" customHeight="1">
      <c r="A50" s="637" t="s">
        <v>1247</v>
      </c>
      <c r="B50" s="621">
        <v>1</v>
      </c>
      <c r="C50" s="622">
        <v>10</v>
      </c>
      <c r="D50" s="670"/>
      <c r="E50" s="661" t="str">
        <f>IF(A50="","",VLOOKUP(A50,HS!$A$12:$E$149,2,0))</f>
        <v xml:space="preserve">  - B¶o hiÓm c«ng tr×nh GT</v>
      </c>
      <c r="F50" s="671" t="e">
        <f>IF(OR(J50=0,J50=""),F49,F49+1)</f>
        <v>#REF!</v>
      </c>
      <c r="G50" s="1033" t="str">
        <f>IF(A50="","",IF(B50=1,VLOOKUP(A50,HS!$A$12:$E$149,4,0)&amp;IF(C50=0,"","*"&amp;ROUND((100+C50)/100,2)),VLOOKUP(A50,HS!$A$12:$E$149,4,0)&amp;IF(C50=0,"","*"&amp;ROUND((100+C50)/100,2))&amp;"*"&amp;B50))</f>
        <v>XL/1.1*0,28%*1,1</v>
      </c>
      <c r="H50" s="1043" t="e">
        <f>IF(A50="","",VLOOKUP(A50,HS!$A$12:$E$149,5,0)*B50)</f>
        <v>#REF!</v>
      </c>
      <c r="I50" s="1044" t="e">
        <f t="shared" ref="I50:I56" si="13">IF(H50="","",H50*C50/100)</f>
        <v>#REF!</v>
      </c>
      <c r="J50" s="654" t="e">
        <f>IF(A50="","",VLOOKUP(A50,HS!$A$12:$E$149,5,0)*B50*(100+C50)/100)</f>
        <v>#REF!</v>
      </c>
      <c r="K50" s="704"/>
      <c r="L50" s="643"/>
      <c r="N50" s="606">
        <v>0.106</v>
      </c>
      <c r="O50" s="606">
        <f>P50+(N50-P50)*(P47-O47)/(P47-N47)</f>
        <v>9.0639999999999998E-2</v>
      </c>
      <c r="P50" s="606">
        <v>8.2000000000000003E-2</v>
      </c>
    </row>
    <row r="51" spans="1:16" ht="18" customHeight="1">
      <c r="A51" s="637" t="s">
        <v>1211</v>
      </c>
      <c r="B51" s="621">
        <v>1</v>
      </c>
      <c r="C51" s="622"/>
      <c r="D51" s="670" t="s">
        <v>0</v>
      </c>
      <c r="E51" s="661" t="str">
        <f>IF(A51="","",VLOOKUP(A51,HS!$A$12:$E$149,2,0))</f>
        <v xml:space="preserve">  - LÖ phÝ thÈm ®Þnh TK BVTC</v>
      </c>
      <c r="F51" s="671" t="e">
        <f t="shared" ref="F51:F58" si="14">IF(OR(J51=0,J51=""),F50,F50+1)</f>
        <v>#REF!</v>
      </c>
      <c r="G51" s="1033" t="e">
        <f>IF(A51="","",IF(B51=1,VLOOKUP(A51,HS!$A$12:$E$149,4,0)&amp;IF(C51=0,"","*"&amp;ROUND((100+C51)/100,2)),VLOOKUP(A51,HS!$A$12:$E$149,4,0)&amp;IF(C51=0,"","*"&amp;ROUND((100+C51)/100,2))&amp;"*"&amp;B51))</f>
        <v>#REF!</v>
      </c>
      <c r="H51" s="1043" t="e">
        <f>IF(A51="","",VLOOKUP(A51,HS!$A$12:$E$149,5,0)*B51)</f>
        <v>#REF!</v>
      </c>
      <c r="I51" s="1044" t="e">
        <f t="shared" si="13"/>
        <v>#REF!</v>
      </c>
      <c r="J51" s="654" t="e">
        <f>IF(A51="","",VLOOKUP(A51,HS!$A$12:$E$149,5,0)*B51*(100+C51)/100)</f>
        <v>#REF!</v>
      </c>
      <c r="K51" s="704"/>
      <c r="L51" s="643"/>
    </row>
    <row r="52" spans="1:16" ht="18" customHeight="1">
      <c r="A52" s="637" t="s">
        <v>1220</v>
      </c>
      <c r="B52" s="621">
        <v>1</v>
      </c>
      <c r="C52" s="622"/>
      <c r="D52" s="670" t="s">
        <v>0</v>
      </c>
      <c r="E52" s="661" t="str">
        <f>IF(A52="","",VLOOKUP(A52,HS!$A$12:$E$149,2,0))</f>
        <v xml:space="preserve">  - LÖ phÝ thÈm ®Þnh Dù to¸n</v>
      </c>
      <c r="F52" s="671" t="e">
        <f t="shared" si="14"/>
        <v>#REF!</v>
      </c>
      <c r="G52" s="1033" t="e">
        <f>IF(A52="","",IF(B52=1,VLOOKUP(A52,HS!$A$12:$E$149,4,0)&amp;IF(C52=0,"","*"&amp;ROUND((100+C52)/100,2)),VLOOKUP(A52,HS!$A$12:$E$149,4,0)&amp;IF(C52=0,"","*"&amp;ROUND((100+C52)/100,2))&amp;"*"&amp;B52))</f>
        <v>#REF!</v>
      </c>
      <c r="H52" s="1043" t="e">
        <f>IF(A52="","",VLOOKUP(A52,HS!$A$12:$E$149,5,0)*B52)</f>
        <v>#REF!</v>
      </c>
      <c r="I52" s="1044" t="e">
        <f t="shared" si="13"/>
        <v>#REF!</v>
      </c>
      <c r="J52" s="654" t="e">
        <f>IF(A52="","",VLOOKUP(A52,HS!$A$12:$E$149,5,0)*B52*(100+C52)/100)</f>
        <v>#REF!</v>
      </c>
      <c r="K52" s="704"/>
      <c r="L52" s="643"/>
      <c r="N52" s="606">
        <v>50</v>
      </c>
      <c r="O52" s="606">
        <v>82</v>
      </c>
      <c r="P52" s="606">
        <v>100</v>
      </c>
    </row>
    <row r="53" spans="1:16" ht="18" customHeight="1">
      <c r="A53" s="637" t="s">
        <v>1252</v>
      </c>
      <c r="B53" s="621">
        <v>1</v>
      </c>
      <c r="C53" s="622"/>
      <c r="D53" s="670" t="s">
        <v>0</v>
      </c>
      <c r="E53" s="661" t="str">
        <f>IF(A53="","",VLOOKUP(A53,HS!$A$12:$E$149,2,0))</f>
        <v xml:space="preserve">  - Chi phÝ thÈm ®Þnh HSMT, HSYC</v>
      </c>
      <c r="F53" s="671" t="e">
        <f t="shared" si="14"/>
        <v>#REF!</v>
      </c>
      <c r="G53" s="1033" t="e">
        <f>IF(A53="","",IF(B53=1,VLOOKUP(A53,HS!$A$12:$E$149,4,0)&amp;IF(C53=0,"","*"&amp;ROUND((100+C53)/100,2)),VLOOKUP(A53,HS!$A$12:$E$149,4,0)&amp;IF(C53=0,"","*"&amp;ROUND((100+C53)/100,2))&amp;"*"&amp;B53))</f>
        <v>#REF!</v>
      </c>
      <c r="H53" s="1043" t="e">
        <f>IF(A53="","",VLOOKUP(A53,HS!$A$12:$E$149,5,0)*B53)</f>
        <v>#REF!</v>
      </c>
      <c r="I53" s="1044" t="e">
        <f t="shared" si="13"/>
        <v>#REF!</v>
      </c>
      <c r="J53" s="654" t="e">
        <f>IF(A53="","",VLOOKUP(A53,HS!$A$12:$E$149,5,0)*B53*(100+C53)/100)</f>
        <v>#REF!</v>
      </c>
      <c r="K53" s="704"/>
      <c r="L53" s="643"/>
    </row>
    <row r="54" spans="1:16" ht="18" customHeight="1">
      <c r="A54" s="637" t="s">
        <v>1258</v>
      </c>
      <c r="B54" s="621">
        <v>1</v>
      </c>
      <c r="C54" s="622"/>
      <c r="D54" s="670"/>
      <c r="E54" s="661" t="str">
        <f>IF(A54="","",VLOOKUP(A54,HS!$A$12:$E$149,2,0))</f>
        <v xml:space="preserve">  - Chi phÝ thÈm ®Þnh KQ ®Êu thÇu</v>
      </c>
      <c r="F54" s="671" t="e">
        <f t="shared" si="14"/>
        <v>#REF!</v>
      </c>
      <c r="G54" s="1033" t="e">
        <f>IF(A54="","",IF(B54=1,VLOOKUP(A54,HS!$A$12:$E$149,4,0)&amp;IF(C54=0,"","*"&amp;ROUND((100+C54)/100,2)),VLOOKUP(A54,HS!$A$12:$E$149,4,0)&amp;IF(C54=0,"","*"&amp;ROUND((100+C54)/100,2))&amp;"*"&amp;B54))</f>
        <v>#REF!</v>
      </c>
      <c r="H54" s="1043" t="e">
        <f>IF(A54="","",VLOOKUP(A54,HS!$A$12:$E$149,5,0)*B54)</f>
        <v>#REF!</v>
      </c>
      <c r="I54" s="1044" t="e">
        <f t="shared" si="13"/>
        <v>#REF!</v>
      </c>
      <c r="J54" s="654" t="e">
        <f>IF(A54="","",VLOOKUP(A54,HS!$A$12:$E$149,5,0)*B54*(100+C54)/100)</f>
        <v>#REF!</v>
      </c>
      <c r="K54" s="704"/>
      <c r="L54" s="643"/>
    </row>
    <row r="55" spans="1:16" ht="18" customHeight="1">
      <c r="A55" s="637" t="s">
        <v>1259</v>
      </c>
      <c r="B55" s="621">
        <v>1</v>
      </c>
      <c r="C55" s="622"/>
      <c r="D55" s="670"/>
      <c r="E55" s="661" t="str">
        <f>IF(A55="","",VLOOKUP(A55,HS!$A$12:$E$149,2,0))</f>
        <v xml:space="preserve">  - Gi¶i quyÕt kiÕn nghÞ sau ®Êu thÇu</v>
      </c>
      <c r="F55" s="671" t="e">
        <f t="shared" si="14"/>
        <v>#REF!</v>
      </c>
      <c r="G55" s="1033" t="e">
        <f>IF(A55="","",IF(B55=1,VLOOKUP(A55,HS!$A$12:$E$149,4,0)&amp;IF(C55=0,"","*"&amp;ROUND((100+C55)/100,2)),VLOOKUP(A55,HS!$A$12:$E$149,4,0)&amp;IF(C55=0,"","*"&amp;ROUND((100+C55)/100,2))&amp;"*"&amp;B55))</f>
        <v>#REF!</v>
      </c>
      <c r="H55" s="1043" t="e">
        <f>IF(A55="","",VLOOKUP(A55,HS!$A$12:$E$149,5,0)*B55)</f>
        <v>#REF!</v>
      </c>
      <c r="I55" s="1044" t="e">
        <f t="shared" si="13"/>
        <v>#REF!</v>
      </c>
      <c r="J55" s="654" t="e">
        <f>IF(A55="","",VLOOKUP(A55,HS!$A$12:$E$149,5,0)*B55*(100+C55)/100)</f>
        <v>#REF!</v>
      </c>
      <c r="K55" s="704"/>
      <c r="L55" s="643"/>
    </row>
    <row r="56" spans="1:16" ht="18" customHeight="1">
      <c r="A56" s="637" t="s">
        <v>1206</v>
      </c>
      <c r="B56" s="637">
        <v>1</v>
      </c>
      <c r="C56" s="638"/>
      <c r="D56" s="670"/>
      <c r="E56" s="661" t="str">
        <f>IF(A56="","",VLOOKUP(A56,HS!$A$12:$E$149,2,0))</f>
        <v xml:space="preserve">  - ThÈm tra phª duyÖt quyÕt to¸n</v>
      </c>
      <c r="F56" s="671" t="e">
        <f t="shared" si="14"/>
        <v>#REF!</v>
      </c>
      <c r="G56" s="1033" t="str">
        <f>IF(A56="","",IF(B56=1,VLOOKUP(A56,HS!$A$12:$E$149,4,0)&amp;IF(C56=0,"","*"&amp;ROUND((100+C56)/100,2)),VLOOKUP(A56,HS!$A$12:$E$149,4,0)&amp;IF(C56=0,"","*"&amp;ROUND((100+C56)/100,2))&amp;"*"&amp;B56))</f>
        <v>TM§T*0,387%</v>
      </c>
      <c r="H56" s="1043">
        <f>IF(A56="","",VLOOKUP(A56,HS!$A$12:$E$149,5,0)*B56)</f>
        <v>43541370</v>
      </c>
      <c r="I56" s="1044">
        <f t="shared" si="13"/>
        <v>0</v>
      </c>
      <c r="J56" s="654">
        <f>IF(A56="","",VLOOKUP(A56,HS!$A$12:$E$149,5,0)*B56*(100+C56)/100)</f>
        <v>43541370</v>
      </c>
      <c r="K56" s="704"/>
      <c r="L56" s="643"/>
    </row>
    <row r="57" spans="1:16" ht="18" hidden="1" customHeight="1">
      <c r="A57" s="637"/>
      <c r="B57" s="637"/>
      <c r="C57" s="638">
        <v>10</v>
      </c>
      <c r="D57" s="670"/>
      <c r="E57" s="661" t="str">
        <f>IF(A57="","",VLOOKUP(A57,HS!$A$12:$E$149,2,0))</f>
        <v/>
      </c>
      <c r="F57" s="671" t="e">
        <f t="shared" ref="F57" si="15">IF(OR(J57=0,J57=""),F56,F56+1)</f>
        <v>#REF!</v>
      </c>
      <c r="G57" s="1033" t="str">
        <f>IF(A57="","",IF(B57=1,VLOOKUP(A57,HS!$A$12:$E$149,4,0)&amp;IF(C57=0,"","*"&amp;ROUND((100+C57)/100,2)),VLOOKUP(A57,HS!$A$12:$E$149,4,0)&amp;IF(C57=0,"","*"&amp;ROUND((100+C57)/100,2))&amp;"*"&amp;B57))</f>
        <v/>
      </c>
      <c r="H57" s="1043" t="str">
        <f>IF(A57="","",VLOOKUP(A57,HS!$A$12:$E$149,5,0)*B57)</f>
        <v/>
      </c>
      <c r="I57" s="1044" t="str">
        <f t="shared" ref="I57" si="16">IF(H57="","",H57*C57/100)</f>
        <v/>
      </c>
      <c r="J57" s="654" t="str">
        <f>IF(A57="","",VLOOKUP(A57,HS!$A$12:$E$149,5,0)*B57*(100+C57)/100)</f>
        <v/>
      </c>
      <c r="K57" s="704"/>
      <c r="L57" s="643"/>
    </row>
    <row r="58" spans="1:16" ht="18" hidden="1" customHeight="1">
      <c r="A58" s="637"/>
      <c r="B58" s="637"/>
      <c r="C58" s="638"/>
      <c r="D58" s="670"/>
      <c r="E58" s="845" t="str">
        <f>IF(A58="","",VLOOKUP(A58,HS!$A$12:$E$149,2,0))</f>
        <v/>
      </c>
      <c r="F58" s="671" t="e">
        <f t="shared" si="14"/>
        <v>#REF!</v>
      </c>
      <c r="G58" s="1033" t="str">
        <f>IF(A58="","",IF(B58=1,VLOOKUP(A58,HS!$A$12:$E$149,4,0)&amp;IF(C58=0,"","*"&amp;ROUND((100+C58)/100,2)),VLOOKUP(A58,HS!$A$12:$E$149,4,0)&amp;IF(C58=0,"","*"&amp;ROUND((100+C58)/100,2))&amp;"*"&amp;B58))</f>
        <v/>
      </c>
      <c r="H58" s="1007"/>
      <c r="I58" s="1007"/>
      <c r="J58" s="654" t="str">
        <f>IF(A58="","",VLOOKUP(A58,HS!$A$12:$E$149,5,0)*B58*(100+C58)/100)</f>
        <v/>
      </c>
      <c r="K58" s="704"/>
      <c r="L58" s="643"/>
    </row>
    <row r="59" spans="1:16" ht="18" hidden="1" customHeight="1">
      <c r="A59" s="637"/>
      <c r="B59" s="637">
        <v>0.5</v>
      </c>
      <c r="C59" s="638"/>
      <c r="D59" s="670"/>
      <c r="E59" s="845" t="str">
        <f>IF(A59="","",VLOOKUP(A59,HS!$A$12:$E$149,2,0))</f>
        <v/>
      </c>
      <c r="F59" s="671" t="e">
        <f t="shared" ref="F59:F61" si="17">IF(OR(J59=0,J59=""),F58,F58+1)</f>
        <v>#REF!</v>
      </c>
      <c r="G59" s="1033" t="str">
        <f>IF(A59="","",IF(B59=1,VLOOKUP(A59,HS!$A$12:$E$149,4,0)&amp;IF(C59=0,"","*"&amp;ROUND((100+C59)/100,2)),VLOOKUP(A59,HS!$A$12:$E$149,4,0)&amp;IF(C59=0,"","*"&amp;ROUND((100+C59)/100,2))&amp;"*"&amp;B59))</f>
        <v/>
      </c>
      <c r="H59" s="1007"/>
      <c r="I59" s="1007"/>
      <c r="J59" s="654" t="str">
        <f>IF(A59="","",VLOOKUP(A59,HS!$A$12:$E$149,5,0)*B59*(100+C59)/100)</f>
        <v/>
      </c>
      <c r="K59" s="704"/>
      <c r="L59" s="643"/>
    </row>
    <row r="60" spans="1:16" ht="18" hidden="1" customHeight="1">
      <c r="A60" s="637"/>
      <c r="B60" s="637"/>
      <c r="C60" s="638"/>
      <c r="D60" s="670"/>
      <c r="E60" s="661" t="str">
        <f>IF(A60="","",VLOOKUP(A60,HS!$A$12:$E$149,2,0))</f>
        <v/>
      </c>
      <c r="F60" s="671" t="e">
        <f t="shared" si="17"/>
        <v>#REF!</v>
      </c>
      <c r="G60" s="1033" t="str">
        <f>IF(A60="","",IF(B60=1,VLOOKUP(A60,HS!$A$12:$E$149,4,0)&amp;IF(C60=0,"","*"&amp;ROUND((100+C60)/100,2)),VLOOKUP(A60,HS!$A$12:$E$149,4,0)&amp;IF(C60=0,"","*"&amp;ROUND((100+C60)/100,2))&amp;"*"&amp;B60))</f>
        <v/>
      </c>
      <c r="H60" s="1007"/>
      <c r="I60" s="1007"/>
      <c r="J60" s="654" t="str">
        <f>IF(A60="","",VLOOKUP(A60,HS!$A$12:$E$149,5,0)*B60*(100+C60)/100)</f>
        <v/>
      </c>
      <c r="K60" s="704"/>
      <c r="L60" s="643"/>
    </row>
    <row r="61" spans="1:16" ht="18" hidden="1" customHeight="1">
      <c r="A61" s="637"/>
      <c r="B61" s="637">
        <v>1</v>
      </c>
      <c r="C61" s="638"/>
      <c r="D61" s="672" t="s">
        <v>0</v>
      </c>
      <c r="E61" s="661" t="str">
        <f>IF(A61="","",VLOOKUP(A61,HS!$A$12:$E$149,2,0))</f>
        <v/>
      </c>
      <c r="F61" s="671" t="e">
        <f t="shared" si="17"/>
        <v>#REF!</v>
      </c>
      <c r="G61" s="1033" t="str">
        <f>IF(A61="","",IF(B61=1,VLOOKUP(A61,HS!$A$12:$E$149,4,0)&amp;IF(C61=0,"","*"&amp;ROUND((100+C61)/100,2)),VLOOKUP(A61,HS!$A$12:$E$149,4,0)&amp;IF(C61=0,"","*"&amp;ROUND((100+C61)/100,2))&amp;"*"&amp;B61))</f>
        <v/>
      </c>
      <c r="H61" s="1007"/>
      <c r="I61" s="1007"/>
      <c r="J61" s="654" t="str">
        <f>IF(A61="","",VLOOKUP(A61,HS!$A$12:$E$149,5,0)*B61*(100+C61)/100)</f>
        <v/>
      </c>
      <c r="K61" s="704"/>
      <c r="L61" s="643"/>
    </row>
    <row r="62" spans="1:16" ht="17.25" customHeight="1">
      <c r="A62" s="637"/>
      <c r="B62" s="637"/>
      <c r="C62" s="638"/>
      <c r="D62" s="655" t="s">
        <v>0</v>
      </c>
      <c r="E62" s="656" t="s">
        <v>0</v>
      </c>
      <c r="F62" s="657" t="s">
        <v>0</v>
      </c>
      <c r="G62" s="1034" t="s">
        <v>0</v>
      </c>
      <c r="H62" s="1008"/>
      <c r="I62" s="1008"/>
      <c r="J62" s="658"/>
      <c r="K62" s="704"/>
      <c r="L62" s="673"/>
    </row>
    <row r="63" spans="1:16" ht="18" customHeight="1">
      <c r="A63" s="637"/>
      <c r="B63" s="637"/>
      <c r="C63" s="638"/>
      <c r="D63" s="815" t="s">
        <v>220</v>
      </c>
      <c r="E63" s="816" t="s">
        <v>289</v>
      </c>
      <c r="F63" s="817" t="s">
        <v>290</v>
      </c>
      <c r="G63" s="1036" t="s">
        <v>1678</v>
      </c>
      <c r="H63" s="1011"/>
      <c r="I63" s="1011"/>
      <c r="J63" s="674"/>
      <c r="K63" s="704"/>
      <c r="L63" s="673"/>
    </row>
    <row r="64" spans="1:16" ht="18" hidden="1" customHeight="1">
      <c r="A64" s="637"/>
      <c r="B64" s="637"/>
      <c r="C64" s="638"/>
      <c r="D64" s="812" t="s">
        <v>0</v>
      </c>
      <c r="E64" s="813" t="s">
        <v>0</v>
      </c>
      <c r="F64" s="814" t="s">
        <v>0</v>
      </c>
      <c r="G64" s="1037" t="s">
        <v>0</v>
      </c>
      <c r="H64" s="1012"/>
      <c r="I64" s="1012"/>
      <c r="J64" s="675"/>
      <c r="K64" s="704"/>
      <c r="L64" s="673"/>
    </row>
    <row r="65" spans="1:14" ht="18" customHeight="1">
      <c r="A65" s="637"/>
      <c r="B65" s="637"/>
      <c r="C65" s="638"/>
      <c r="D65" s="649" t="s">
        <v>223</v>
      </c>
      <c r="E65" s="650" t="s">
        <v>291</v>
      </c>
      <c r="F65" s="651" t="s">
        <v>292</v>
      </c>
      <c r="G65" s="1133">
        <v>5</v>
      </c>
      <c r="H65" s="1013"/>
      <c r="I65" s="1013"/>
      <c r="J65" s="676" t="e">
        <f>ROUND((xl+J31+J35+J48+J63)*G65/100,-3)</f>
        <v>#REF!</v>
      </c>
      <c r="K65" s="704"/>
      <c r="L65" s="643"/>
      <c r="N65" s="677">
        <v>11583000</v>
      </c>
    </row>
    <row r="66" spans="1:14" ht="18" hidden="1" customHeight="1">
      <c r="A66" s="637"/>
      <c r="B66" s="637"/>
      <c r="C66" s="638"/>
      <c r="D66" s="652"/>
      <c r="E66" s="678" t="s">
        <v>293</v>
      </c>
      <c r="F66" s="679" t="s">
        <v>294</v>
      </c>
      <c r="G66" s="1038">
        <v>5</v>
      </c>
      <c r="H66" s="1014"/>
      <c r="I66" s="1014"/>
      <c r="J66" s="676"/>
      <c r="K66" s="704"/>
      <c r="L66" s="643"/>
      <c r="N66" s="677"/>
    </row>
    <row r="67" spans="1:14" ht="18" hidden="1" customHeight="1">
      <c r="A67" s="637"/>
      <c r="B67" s="637"/>
      <c r="C67" s="638"/>
      <c r="D67" s="680"/>
      <c r="E67" s="681" t="s">
        <v>295</v>
      </c>
      <c r="F67" s="682" t="s">
        <v>296</v>
      </c>
      <c r="G67" s="1039">
        <v>3</v>
      </c>
      <c r="H67" s="1015"/>
      <c r="I67" s="1015"/>
      <c r="J67" s="676"/>
      <c r="K67" s="704"/>
      <c r="L67" s="643"/>
      <c r="N67" s="677"/>
    </row>
    <row r="68" spans="1:14" ht="18" hidden="1" customHeight="1">
      <c r="A68" s="637"/>
      <c r="B68" s="637"/>
      <c r="C68" s="638"/>
      <c r="D68" s="655" t="s">
        <v>0</v>
      </c>
      <c r="E68" s="656" t="s">
        <v>0</v>
      </c>
      <c r="F68" s="657" t="s">
        <v>0</v>
      </c>
      <c r="G68" s="1034" t="s">
        <v>0</v>
      </c>
      <c r="H68" s="1008"/>
      <c r="I68" s="1008"/>
      <c r="J68" s="717"/>
      <c r="K68" s="704"/>
      <c r="L68" s="643"/>
      <c r="N68" s="677"/>
    </row>
    <row r="69" spans="1:14" ht="18" customHeight="1">
      <c r="A69" s="637"/>
      <c r="B69" s="637"/>
      <c r="C69" s="638"/>
      <c r="D69" s="623" t="s">
        <v>297</v>
      </c>
      <c r="E69" s="624" t="s">
        <v>298</v>
      </c>
      <c r="F69" s="659" t="s">
        <v>225</v>
      </c>
      <c r="G69" s="1040" t="s">
        <v>299</v>
      </c>
      <c r="H69" s="1016"/>
      <c r="I69" s="1016"/>
      <c r="J69" s="626" t="e">
        <f>J65+J48+J35+J31+J6+J63</f>
        <v>#REF!</v>
      </c>
      <c r="K69" s="704"/>
      <c r="L69" s="683"/>
      <c r="N69" s="677">
        <f>N65/1.1</f>
        <v>10530000</v>
      </c>
    </row>
    <row r="70" spans="1:14" ht="20.25" customHeight="1" thickBot="1">
      <c r="A70" s="637"/>
      <c r="B70" s="637"/>
      <c r="C70" s="638"/>
      <c r="D70" s="684" t="s">
        <v>0</v>
      </c>
      <c r="E70" s="685" t="e">
        <f>Doc</f>
        <v>#REF!</v>
      </c>
      <c r="F70" s="686"/>
      <c r="G70" s="1041"/>
      <c r="H70" s="1017"/>
      <c r="I70" s="1017"/>
      <c r="J70" s="687"/>
      <c r="K70" s="704"/>
      <c r="L70" s="688"/>
    </row>
    <row r="71" spans="1:14" ht="6.75" customHeight="1">
      <c r="A71" s="689"/>
      <c r="B71" s="689"/>
      <c r="C71" s="689"/>
      <c r="D71" s="689"/>
      <c r="E71" s="690"/>
      <c r="F71" s="689"/>
      <c r="G71" s="689"/>
      <c r="H71" s="689"/>
      <c r="I71" s="689"/>
      <c r="J71" s="643"/>
      <c r="K71" s="699"/>
      <c r="L71" s="691"/>
    </row>
    <row r="72" spans="1:14" ht="17.25">
      <c r="A72" s="689"/>
      <c r="B72" s="689"/>
      <c r="C72" s="689"/>
      <c r="D72" s="690"/>
      <c r="E72" s="689"/>
      <c r="F72" s="689"/>
      <c r="G72" s="689"/>
      <c r="I72" s="1062" t="s">
        <v>1832</v>
      </c>
      <c r="J72" s="643"/>
      <c r="K72" s="699"/>
      <c r="L72" s="691"/>
    </row>
    <row r="73" spans="1:14" s="848" customFormat="1" ht="16.5">
      <c r="A73" s="849"/>
      <c r="B73" s="849"/>
      <c r="C73" s="849"/>
      <c r="E73" s="1026" t="s">
        <v>1805</v>
      </c>
      <c r="F73" s="1022"/>
      <c r="G73" s="1022"/>
      <c r="I73" s="1026" t="s">
        <v>1806</v>
      </c>
      <c r="J73" s="1022"/>
      <c r="K73" s="850"/>
      <c r="L73" s="847"/>
    </row>
    <row r="74" spans="1:14" s="848" customFormat="1" ht="17.25">
      <c r="A74" s="849"/>
      <c r="B74" s="849"/>
      <c r="C74" s="849"/>
      <c r="E74" s="1027"/>
      <c r="F74" s="1023"/>
      <c r="G74" s="1023"/>
      <c r="I74" s="1023"/>
      <c r="J74" s="1023"/>
      <c r="K74" s="850"/>
      <c r="L74" s="851"/>
    </row>
    <row r="75" spans="1:14" s="848" customFormat="1" ht="36.75" customHeight="1">
      <c r="A75" s="849"/>
      <c r="B75" s="849"/>
      <c r="C75" s="849"/>
      <c r="E75" s="1027"/>
      <c r="F75" s="1023"/>
      <c r="G75" s="1023"/>
      <c r="I75" s="1023"/>
      <c r="J75" s="1023"/>
      <c r="K75" s="850"/>
      <c r="L75" s="852"/>
    </row>
    <row r="76" spans="1:14" s="848" customFormat="1" ht="19.5" customHeight="1">
      <c r="A76" s="849"/>
      <c r="B76" s="849"/>
      <c r="C76" s="849"/>
      <c r="E76" s="167" t="s">
        <v>2007</v>
      </c>
      <c r="F76" s="1003"/>
      <c r="G76" s="1003"/>
      <c r="I76" s="167" t="s">
        <v>1808</v>
      </c>
      <c r="J76" s="1024"/>
      <c r="K76" s="850"/>
      <c r="L76" s="853"/>
    </row>
    <row r="77" spans="1:14" s="848" customFormat="1" ht="17.25">
      <c r="A77" s="849"/>
      <c r="B77" s="849"/>
      <c r="C77" s="849"/>
      <c r="D77" s="1028"/>
      <c r="E77" s="604"/>
      <c r="F77" s="1003"/>
      <c r="I77" s="1132" t="s">
        <v>2008</v>
      </c>
      <c r="J77" s="1024"/>
      <c r="K77" s="854"/>
      <c r="L77" s="853"/>
    </row>
    <row r="78" spans="1:14" s="848" customFormat="1" ht="19.5" customHeight="1">
      <c r="A78" s="849"/>
      <c r="B78" s="849"/>
      <c r="C78" s="849"/>
      <c r="D78" s="849"/>
      <c r="F78" s="604"/>
      <c r="G78" s="1003"/>
      <c r="H78" s="1003"/>
      <c r="I78" s="1029"/>
      <c r="J78" s="1025"/>
      <c r="K78" s="855"/>
      <c r="L78" s="853"/>
    </row>
    <row r="79" spans="1:14" ht="17.25">
      <c r="E79" s="163"/>
      <c r="F79" s="604"/>
      <c r="G79" s="1023"/>
      <c r="H79" s="1023"/>
      <c r="I79" s="1023"/>
      <c r="J79" s="1023"/>
    </row>
    <row r="80" spans="1:14">
      <c r="L80" s="692"/>
    </row>
    <row r="82" spans="5:9" ht="15.75" thickBot="1"/>
    <row r="83" spans="5:9" ht="19.5" thickBot="1">
      <c r="E83" s="693"/>
    </row>
    <row r="84" spans="5:9" ht="19.5" thickBot="1">
      <c r="E84" s="694"/>
    </row>
    <row r="85" spans="5:9" ht="19.5" thickBot="1">
      <c r="E85" s="695"/>
    </row>
    <row r="86" spans="5:9" ht="19.5" thickBot="1">
      <c r="E86" s="695"/>
    </row>
    <row r="87" spans="5:9" ht="19.5" thickBot="1">
      <c r="E87" s="695"/>
    </row>
    <row r="88" spans="5:9" ht="19.5" thickBot="1">
      <c r="E88" s="695"/>
    </row>
    <row r="89" spans="5:9" ht="19.5" thickBot="1">
      <c r="E89" s="695"/>
    </row>
    <row r="90" spans="5:9" ht="19.5" thickBot="1">
      <c r="E90" s="695"/>
    </row>
    <row r="91" spans="5:9" ht="19.5" thickBot="1">
      <c r="E91" s="694"/>
    </row>
    <row r="93" spans="5:9" ht="15.75" thickBot="1"/>
    <row r="94" spans="5:9" ht="17.25" thickBot="1">
      <c r="G94" s="696"/>
      <c r="H94" s="1018"/>
      <c r="I94" s="1018"/>
    </row>
    <row r="95" spans="5:9" ht="17.25" thickBot="1">
      <c r="G95" s="697"/>
      <c r="H95" s="1019"/>
      <c r="I95" s="1019"/>
    </row>
    <row r="96" spans="5:9" ht="17.25" thickBot="1">
      <c r="G96" s="698"/>
      <c r="H96" s="1018"/>
      <c r="I96" s="1018"/>
    </row>
    <row r="97" spans="7:9" ht="17.25" thickBot="1">
      <c r="G97" s="698"/>
      <c r="H97" s="1018"/>
      <c r="I97" s="1018"/>
    </row>
    <row r="98" spans="7:9" ht="17.25" thickBot="1">
      <c r="G98" s="698"/>
      <c r="H98" s="1018"/>
      <c r="I98" s="1018"/>
    </row>
    <row r="99" spans="7:9" ht="17.25" thickBot="1">
      <c r="G99" s="698"/>
      <c r="H99" s="1018"/>
      <c r="I99" s="1018"/>
    </row>
    <row r="100" spans="7:9" ht="17.25" thickBot="1">
      <c r="G100" s="698"/>
      <c r="H100" s="1018"/>
      <c r="I100" s="1018"/>
    </row>
    <row r="101" spans="7:9" ht="17.25" thickBot="1">
      <c r="G101" s="698"/>
      <c r="H101" s="1018"/>
      <c r="I101" s="1018"/>
    </row>
    <row r="102" spans="7:9" ht="17.25" thickBot="1">
      <c r="G102" s="698"/>
      <c r="H102" s="1018"/>
      <c r="I102" s="1018"/>
    </row>
    <row r="103" spans="7:9" ht="17.25" thickBot="1">
      <c r="G103" s="698"/>
      <c r="H103" s="1018"/>
      <c r="I103" s="1018"/>
    </row>
    <row r="104" spans="7:9" ht="17.25" thickBot="1">
      <c r="G104" s="698"/>
      <c r="H104" s="1018"/>
      <c r="I104" s="1018"/>
    </row>
    <row r="105" spans="7:9" ht="17.25" thickBot="1">
      <c r="G105" s="697"/>
      <c r="H105" s="1019"/>
      <c r="I105" s="1019"/>
    </row>
    <row r="106" spans="7:9" ht="17.25" thickBot="1">
      <c r="G106" s="698"/>
      <c r="H106" s="1018"/>
      <c r="I106" s="1018"/>
    </row>
    <row r="107" spans="7:9" ht="17.25" thickBot="1">
      <c r="G107" s="698"/>
      <c r="H107" s="1018"/>
      <c r="I107" s="1018"/>
    </row>
    <row r="108" spans="7:9" ht="17.25" thickBot="1">
      <c r="G108" s="697"/>
      <c r="H108" s="1019"/>
      <c r="I108" s="1019"/>
    </row>
    <row r="110" spans="7:9">
      <c r="G110" s="606">
        <f>SUM(G94:G108)</f>
        <v>0</v>
      </c>
    </row>
    <row r="111" spans="7:9">
      <c r="G111" s="606">
        <f>G110+E93</f>
        <v>0</v>
      </c>
    </row>
  </sheetData>
  <sheetProtection formatCells="0" formatColumns="0" formatRows="0" insertColumns="0" insertRows="0" insertHyperlinks="0" sort="0" autoFilter="0" pivotTables="0"/>
  <mergeCells count="3">
    <mergeCell ref="D1:J1"/>
    <mergeCell ref="D2:J2"/>
    <mergeCell ref="D3:J3"/>
  </mergeCells>
  <pageMargins left="0.52" right="0.19" top="0.74" bottom="0.71" header="0.16" footer="0.62"/>
  <pageSetup paperSize="9" scale="105" orientation="landscape" r:id="rId1"/>
  <headerFooter alignWithMargins="0"/>
  <colBreaks count="1" manualBreakCount="1">
    <brk id="3" max="1048575" man="1"/>
  </colBreaks>
  <legacy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F600-000000000000}">
          <x14:formula1>
            <xm:f>HS!$A$99:$A$137</xm:f>
          </x14:formula1>
          <xm:sqref>A57:A61</xm:sqref>
        </x14:dataValidation>
        <x14:dataValidation type="list" allowBlank="1" showInputMessage="1" showErrorMessage="1" xr:uid="{00000000-0002-0000-F600-000001000000}">
          <x14:formula1>
            <xm:f>HS!$A$12:$A$16</xm:f>
          </x14:formula1>
          <xm:sqref>A32:A34</xm:sqref>
        </x14:dataValidation>
        <x14:dataValidation type="list" allowBlank="1" showInputMessage="1" showErrorMessage="1" xr:uid="{00000000-0002-0000-F600-000002000000}">
          <x14:formula1>
            <xm:f>HS!$A$17:$A$93</xm:f>
          </x14:formula1>
          <xm:sqref>A36:A47</xm:sqref>
        </x14:dataValidation>
        <x14:dataValidation type="list" allowBlank="1" showInputMessage="1" showErrorMessage="1" xr:uid="{00000000-0002-0000-F600-000003000000}">
          <x14:formula1>
            <xm:f>'C:\DU LIEU MAY VINH\Vinh\1 Vinh 2021\SuNghiepGT 2021\DT626\[DT626 SNGT2021.xlsx]HS'!#REF!</xm:f>
          </x14:formula1>
          <xm:sqref>A49:A56</xm:sqref>
        </x14:dataValidation>
      </x14:dataValidations>
    </ext>
  </extLst>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0AE2B-EDF8-419A-9F41-6AF68306EE6D}">
  <sheetPr filterMode="1">
    <tabColor rgb="FF00B050"/>
  </sheetPr>
  <dimension ref="A1:K56"/>
  <sheetViews>
    <sheetView showZeros="0" workbookViewId="0">
      <selection activeCell="H77" sqref="H77"/>
    </sheetView>
  </sheetViews>
  <sheetFormatPr defaultRowHeight="15"/>
  <cols>
    <col min="1" max="1" width="3.625" style="3" customWidth="1"/>
    <col min="2" max="2" width="10" customWidth="1"/>
    <col min="3" max="3" width="33.125" customWidth="1"/>
    <col min="4" max="4" width="6.5" style="3" customWidth="1"/>
    <col min="5" max="5" width="9.25" style="94" customWidth="1"/>
    <col min="6" max="6" width="12.25" style="12" customWidth="1"/>
    <col min="7" max="7" width="14.75" style="12" bestFit="1" customWidth="1"/>
    <col min="9" max="9" width="6.375" style="3" customWidth="1"/>
  </cols>
  <sheetData>
    <row r="1" spans="1:11" ht="21.75">
      <c r="A1" s="1182" t="s">
        <v>301</v>
      </c>
      <c r="B1" s="1182"/>
      <c r="C1" s="1182"/>
      <c r="D1" s="1182"/>
      <c r="E1" s="1182"/>
      <c r="F1" s="1182"/>
      <c r="G1" s="1182"/>
    </row>
    <row r="2" spans="1:11" s="7" customFormat="1" ht="16.5" hidden="1">
      <c r="A2" s="1183"/>
      <c r="B2" s="1183"/>
      <c r="C2" s="1183"/>
      <c r="D2" s="1183"/>
      <c r="E2" s="1183"/>
      <c r="F2" s="1183"/>
      <c r="G2" s="1183"/>
      <c r="I2" s="790"/>
    </row>
    <row r="3" spans="1:11" s="7" customFormat="1" ht="16.5" hidden="1">
      <c r="A3" s="1183"/>
      <c r="B3" s="1183"/>
      <c r="C3" s="1183"/>
      <c r="D3" s="1183"/>
      <c r="E3" s="1183"/>
      <c r="F3" s="1183"/>
      <c r="G3" s="1183"/>
      <c r="I3" s="790"/>
    </row>
    <row r="4" spans="1:11" s="7" customFormat="1" ht="16.5" hidden="1">
      <c r="A4" s="1183"/>
      <c r="B4" s="1183"/>
      <c r="C4" s="1183"/>
      <c r="D4" s="1183"/>
      <c r="E4" s="1183"/>
      <c r="F4" s="1183"/>
      <c r="G4" s="1183"/>
      <c r="I4" s="790"/>
    </row>
    <row r="5" spans="1:11" ht="6" customHeight="1" thickBot="1">
      <c r="A5" s="49"/>
      <c r="B5" s="2"/>
      <c r="C5" s="2"/>
      <c r="D5" s="49"/>
      <c r="E5" s="69"/>
      <c r="F5" s="1"/>
      <c r="G5" s="1"/>
    </row>
    <row r="6" spans="1:11" ht="45" customHeight="1">
      <c r="A6" s="4" t="s">
        <v>136</v>
      </c>
      <c r="B6" s="6" t="s">
        <v>1027</v>
      </c>
      <c r="C6" s="5" t="s">
        <v>141</v>
      </c>
      <c r="D6" s="6" t="s">
        <v>149</v>
      </c>
      <c r="E6" s="70" t="s">
        <v>579</v>
      </c>
      <c r="F6" s="13" t="s">
        <v>139</v>
      </c>
      <c r="G6" s="14" t="s">
        <v>137</v>
      </c>
      <c r="I6" s="789">
        <f>'Du toan chi tiet'!L5</f>
        <v>1</v>
      </c>
    </row>
    <row r="7" spans="1:11" s="55" customFormat="1" ht="17.100000000000001" customHeight="1">
      <c r="A7" s="71"/>
      <c r="B7" s="72" t="s">
        <v>0</v>
      </c>
      <c r="C7" s="72" t="s">
        <v>1291</v>
      </c>
      <c r="D7" s="73" t="s">
        <v>0</v>
      </c>
      <c r="E7" s="74"/>
      <c r="F7" s="75"/>
      <c r="G7" s="76" t="e">
        <f>SUM(G9:G21)+G30</f>
        <v>#REF!</v>
      </c>
      <c r="H7" s="62"/>
      <c r="I7" s="791" t="e">
        <f>IF(OR(G7&lt;&gt;0,B7="*"),$I$6,0)</f>
        <v>#REF!</v>
      </c>
      <c r="J7" s="62"/>
      <c r="K7" s="62"/>
    </row>
    <row r="8" spans="1:11" s="55" customFormat="1" ht="17.100000000000001" customHeight="1">
      <c r="A8" s="95"/>
      <c r="B8" s="92"/>
      <c r="C8" s="92" t="s">
        <v>1794</v>
      </c>
      <c r="D8" s="96"/>
      <c r="E8" s="97"/>
      <c r="F8" s="792"/>
      <c r="G8" s="793" t="e">
        <f>SUM(G9:G28)</f>
        <v>#REF!</v>
      </c>
      <c r="H8" s="62"/>
      <c r="I8" s="791" t="e">
        <f t="shared" ref="I8:I47" si="0">IF(OR(G8&lt;&gt;0,B8="*"),$I$6,0)</f>
        <v>#REF!</v>
      </c>
      <c r="J8" s="62"/>
      <c r="K8" s="62"/>
    </row>
    <row r="9" spans="1:11" s="83" customFormat="1" ht="30" hidden="1">
      <c r="A9" s="77" t="e">
        <f>IF(F9&lt;&gt;0,A8+I9,A8)</f>
        <v>#REF!</v>
      </c>
      <c r="B9" s="78" t="s">
        <v>112</v>
      </c>
      <c r="C9" s="78" t="s">
        <v>1793</v>
      </c>
      <c r="D9" s="79" t="str">
        <f>VLOOKUP(B9,'PT giaKS'!$B$7:$H$1612,3,0)</f>
        <v>1 c«ng</v>
      </c>
      <c r="E9" s="80">
        <v>0</v>
      </c>
      <c r="F9" s="183" t="e">
        <f>VLOOKUP(B9,'PT giaKS'!$B$7:$H$1612,7,0)</f>
        <v>#REF!</v>
      </c>
      <c r="G9" s="82" t="e">
        <f>F9*E9</f>
        <v>#REF!</v>
      </c>
      <c r="I9" s="791" t="e">
        <f t="shared" si="0"/>
        <v>#REF!</v>
      </c>
    </row>
    <row r="10" spans="1:11" s="83" customFormat="1" ht="27.75" customHeight="1">
      <c r="A10" s="77" t="e">
        <f t="shared" ref="A10:A46" si="1">IF(F10&lt;&gt;0,A9+I10,A9)</f>
        <v>#REF!</v>
      </c>
      <c r="B10" s="78" t="s">
        <v>112</v>
      </c>
      <c r="C10" s="78" t="str">
        <f>VLOOKUP(B10,'PT giaKS'!$B$7:$H$1612,2,0)</f>
        <v>Nh©n c«ng ®iÒu tra, thu thËp sè liÖu</v>
      </c>
      <c r="D10" s="79" t="str">
        <f>VLOOKUP(B10,'PT giaKS'!$B$7:$H$1612,3,0)</f>
        <v>1 c«ng</v>
      </c>
      <c r="E10" s="80">
        <v>5</v>
      </c>
      <c r="F10" s="183" t="e">
        <f>VLOOKUP(B10,'PT giaKS'!$B$7:$H$1612,7,0)</f>
        <v>#REF!</v>
      </c>
      <c r="G10" s="82" t="e">
        <f t="shared" ref="G10:G11" si="2">F10*E10</f>
        <v>#REF!</v>
      </c>
      <c r="I10" s="791" t="e">
        <f t="shared" si="0"/>
        <v>#REF!</v>
      </c>
    </row>
    <row r="11" spans="1:11" s="55" customFormat="1" ht="36" customHeight="1">
      <c r="A11" s="77" t="e">
        <f t="shared" si="1"/>
        <v>#REF!</v>
      </c>
      <c r="B11" s="51" t="s">
        <v>353</v>
      </c>
      <c r="C11" s="78" t="str">
        <f>VLOOKUP(B11,'PT giaKS'!$B$7:$H$1612,2,0)</f>
        <v>§o vÏ b×nh ®å ë trªn c¹n, tû lÖ 1/1000,</v>
      </c>
      <c r="D11" s="79" t="str">
        <f>VLOOKUP(B11,'PT giaKS'!$B$7:$H$1612,3,0)</f>
        <v>1 ha</v>
      </c>
      <c r="E11" s="80">
        <f>(E14-100)*20/10000</f>
        <v>7.5739999999999998</v>
      </c>
      <c r="F11" s="183" t="e">
        <f>ROUND(VLOOKUP(B11,'PT giaKS'!$B$7:$H$1612,7,0),0)</f>
        <v>#REF!</v>
      </c>
      <c r="G11" s="82" t="e">
        <f t="shared" si="2"/>
        <v>#REF!</v>
      </c>
      <c r="I11" s="791" t="e">
        <f t="shared" si="0"/>
        <v>#REF!</v>
      </c>
    </row>
    <row r="12" spans="1:11" s="83" customFormat="1" ht="15.75" hidden="1">
      <c r="A12" s="77" t="e">
        <f t="shared" si="1"/>
        <v>#REF!</v>
      </c>
      <c r="B12" s="78" t="s">
        <v>1289</v>
      </c>
      <c r="C12" s="78" t="str">
        <f>VLOOKUP(B12,'PT giaKS'!$B$7:$H$1612,2,0)</f>
        <v>§o vÏ b×nh ®å ë d­íi n­íc, tû lÖ 1/500,</v>
      </c>
      <c r="D12" s="79" t="str">
        <f>VLOOKUP(B12,'PT giaKS'!$B$7:$H$1612,3,0)</f>
        <v>1 ha</v>
      </c>
      <c r="E12" s="80">
        <v>0</v>
      </c>
      <c r="F12" s="183" t="e">
        <f>VLOOKUP(B12,'PT giaKS'!$B$7:$H$1612,7,0)</f>
        <v>#REF!</v>
      </c>
      <c r="G12" s="82" t="e">
        <f t="shared" ref="G12:G21" si="3">ROUND(E12*F12,5)</f>
        <v>#REF!</v>
      </c>
      <c r="I12" s="791" t="e">
        <f t="shared" si="0"/>
        <v>#REF!</v>
      </c>
    </row>
    <row r="13" spans="1:11" s="83" customFormat="1" ht="15.75">
      <c r="A13" s="77" t="e">
        <f t="shared" si="1"/>
        <v>#REF!</v>
      </c>
      <c r="B13" s="78" t="s">
        <v>359</v>
      </c>
      <c r="C13" s="78" t="str">
        <f>VLOOKUP(B13,'PT giaKS'!$B$7:$H$1612,2,0)</f>
        <v>§o vÏ b×nh ®å ë trªn c¹n, tû lÖ 1/500,</v>
      </c>
      <c r="D13" s="79" t="str">
        <f>VLOOKUP(B13,'PT giaKS'!$B$7:$H$1612,3,0)</f>
        <v>1 ha</v>
      </c>
      <c r="E13" s="80">
        <v>1</v>
      </c>
      <c r="F13" s="183" t="e">
        <f>VLOOKUP(B13,'PT giaKS'!$B$7:$H$1612,7,0)</f>
        <v>#REF!</v>
      </c>
      <c r="G13" s="82" t="e">
        <f t="shared" ref="G13" si="4">ROUND(E13*F13,5)</f>
        <v>#REF!</v>
      </c>
      <c r="I13" s="791" t="e">
        <f t="shared" si="0"/>
        <v>#REF!</v>
      </c>
    </row>
    <row r="14" spans="1:11" s="55" customFormat="1" ht="30">
      <c r="A14" s="77" t="e">
        <f t="shared" si="1"/>
        <v>#REF!</v>
      </c>
      <c r="B14" s="51" t="s">
        <v>2004</v>
      </c>
      <c r="C14" s="78" t="str">
        <f>VLOOKUP(B14,'PT giaKS'!$B$7:$H$1612,2,0)</f>
        <v>§o vÏ mÆt c¾t däc ®­êng cò trªn c¹n, §H cÊp IV</v>
      </c>
      <c r="D14" s="79" t="str">
        <f>VLOOKUP(B14,'PT giaKS'!$B$7:$H$1612,3,0)</f>
        <v>1 m</v>
      </c>
      <c r="E14" s="1063">
        <v>3887</v>
      </c>
      <c r="F14" s="183" t="e">
        <f>VLOOKUP(B14,'PT giaKS'!$B$7:$H$1612,7,0)</f>
        <v>#REF!</v>
      </c>
      <c r="G14" s="82" t="e">
        <f>F14*E14</f>
        <v>#REF!</v>
      </c>
      <c r="I14" s="791" t="e">
        <f t="shared" si="0"/>
        <v>#REF!</v>
      </c>
    </row>
    <row r="15" spans="1:11" s="55" customFormat="1" ht="31.5" hidden="1">
      <c r="A15" s="77" t="e">
        <f t="shared" si="1"/>
        <v>#REF!</v>
      </c>
      <c r="B15" s="51"/>
      <c r="C15" s="794" t="s">
        <v>1663</v>
      </c>
      <c r="D15" s="79"/>
      <c r="E15" s="713"/>
      <c r="F15" s="183"/>
      <c r="G15" s="82"/>
      <c r="I15" s="791">
        <f t="shared" si="0"/>
        <v>0</v>
      </c>
    </row>
    <row r="16" spans="1:11" s="55" customFormat="1" ht="30" hidden="1">
      <c r="A16" s="77" t="e">
        <f t="shared" si="1"/>
        <v>#REF!</v>
      </c>
      <c r="B16" s="51" t="s">
        <v>373</v>
      </c>
      <c r="C16" s="78" t="str">
        <f>VLOOKUP(B16,'PT giaKS'!$B$7:$H$1612,2,0)</f>
        <v>§o vÏ mÆt c¾t däc ®­êng míi d­íi n­íc, §H cÊp III</v>
      </c>
      <c r="D16" s="79" t="str">
        <f>VLOOKUP(B16,'PT giaKS'!$B$7:$H$1612,3,0)</f>
        <v>1 m</v>
      </c>
      <c r="E16" s="713">
        <v>0</v>
      </c>
      <c r="F16" s="183" t="e">
        <f>VLOOKUP(B16,'PT giaKS'!$B$7:$H$1612,7,0)</f>
        <v>#REF!</v>
      </c>
      <c r="G16" s="82" t="e">
        <f t="shared" ref="G16" si="5">ROUND(E16*F16,5)</f>
        <v>#REF!</v>
      </c>
      <c r="I16" s="791" t="e">
        <f t="shared" si="0"/>
        <v>#REF!</v>
      </c>
    </row>
    <row r="17" spans="1:9" s="55" customFormat="1" ht="30">
      <c r="A17" s="1129" t="e">
        <f t="shared" si="1"/>
        <v>#REF!</v>
      </c>
      <c r="B17" s="1130" t="s">
        <v>372</v>
      </c>
      <c r="C17" s="85" t="str">
        <f>VLOOKUP(B17,'PT giaKS'!$B$7:$H$1612,2,0)</f>
        <v>§o vÏ mÆt c¾t ngang trªn c¹n, §H cÊp IV</v>
      </c>
      <c r="D17" s="86" t="str">
        <f>VLOOKUP(B17,'PT giaKS'!$B$7:$H$1612,3,0)</f>
        <v>1 m</v>
      </c>
      <c r="E17" s="1131">
        <f>E14/15*20</f>
        <v>5182.6666666666661</v>
      </c>
      <c r="F17" s="184" t="e">
        <f>VLOOKUP(B17,'PT giaKS'!$B$7:$H$1612,7,0)</f>
        <v>#REF!</v>
      </c>
      <c r="G17" s="712" t="e">
        <f>F17*E17</f>
        <v>#REF!</v>
      </c>
      <c r="I17" s="791" t="e">
        <f t="shared" si="0"/>
        <v>#REF!</v>
      </c>
    </row>
    <row r="18" spans="1:9" s="55" customFormat="1" ht="30" hidden="1">
      <c r="A18" s="1127" t="e">
        <f t="shared" si="1"/>
        <v>#REF!</v>
      </c>
      <c r="B18" s="805" t="s">
        <v>376</v>
      </c>
      <c r="C18" s="284" t="str">
        <f>VLOOKUP(B18,'PT giaKS'!$B$7:$H$1612,2,0)</f>
        <v>§o vÏ m/c¾t ngang ®­êng míi d­íi n­íc, §H cÊp III</v>
      </c>
      <c r="D18" s="90" t="str">
        <f>VLOOKUP(B18,'PT giaKS'!$B$7:$H$1612,3,0)</f>
        <v>1 m</v>
      </c>
      <c r="E18" s="1128">
        <v>0</v>
      </c>
      <c r="F18" s="710" t="e">
        <f>VLOOKUP(B18,'PT giaKS'!$B$7:$H$1612,7,0)</f>
        <v>#REF!</v>
      </c>
      <c r="G18" s="711" t="e">
        <f t="shared" ref="G18" si="6">ROUND(E18*F18,5)</f>
        <v>#REF!</v>
      </c>
      <c r="I18" s="791" t="e">
        <f t="shared" si="0"/>
        <v>#REF!</v>
      </c>
    </row>
    <row r="19" spans="1:9" s="83" customFormat="1" ht="30" hidden="1">
      <c r="A19" s="77" t="e">
        <f t="shared" si="1"/>
        <v>#REF!</v>
      </c>
      <c r="B19" s="85" t="s">
        <v>347</v>
      </c>
      <c r="C19" s="85" t="str">
        <f>VLOOKUP(B19,'PT giaKS'!$B$7:$H$1612,2,0)</f>
        <v>C¾m mèc chØ giíi ®á, ranh giíi Qho¹ch, §H cÊp III</v>
      </c>
      <c r="D19" s="86" t="str">
        <f>VLOOKUP(B19,'PT giaKS'!$B$7:$H$1612,3,0)</f>
        <v>1 ®iÓm</v>
      </c>
      <c r="E19" s="88">
        <v>0</v>
      </c>
      <c r="F19" s="184" t="e">
        <f>VLOOKUP(B19,'PT giaKS'!$B$7:$H$1612,7,0)</f>
        <v>#REF!</v>
      </c>
      <c r="G19" s="712" t="e">
        <f t="shared" si="3"/>
        <v>#REF!</v>
      </c>
      <c r="I19" s="791" t="e">
        <f t="shared" si="0"/>
        <v>#REF!</v>
      </c>
    </row>
    <row r="20" spans="1:9" s="83" customFormat="1" ht="30" hidden="1">
      <c r="A20" s="77" t="e">
        <f t="shared" si="1"/>
        <v>#REF!</v>
      </c>
      <c r="B20" s="284" t="s">
        <v>316</v>
      </c>
      <c r="C20" s="284" t="str">
        <f>VLOOKUP(B20,'PT giaKS'!$B$7:$H$1612,2,0)</f>
        <v>§o vÏ mÆt c¾t däc ®­êng míi trªn c¹n, §H cÊp V</v>
      </c>
      <c r="D20" s="90" t="str">
        <f>VLOOKUP(B20,'PT giaKS'!$B$7:$H$1612,3,0)</f>
        <v>1 m</v>
      </c>
      <c r="E20" s="91"/>
      <c r="F20" s="710" t="e">
        <f>VLOOKUP(B20,'PT giaKS'!$B$7:$H$1612,7,0)</f>
        <v>#REF!</v>
      </c>
      <c r="G20" s="711" t="e">
        <f t="shared" si="3"/>
        <v>#REF!</v>
      </c>
      <c r="I20" s="791" t="e">
        <f t="shared" si="0"/>
        <v>#REF!</v>
      </c>
    </row>
    <row r="21" spans="1:9" s="83" customFormat="1" ht="30" hidden="1">
      <c r="A21" s="77" t="e">
        <f t="shared" si="1"/>
        <v>#REF!</v>
      </c>
      <c r="B21" s="78" t="s">
        <v>318</v>
      </c>
      <c r="C21" s="78" t="str">
        <f>VLOOKUP(B21,'PT giaKS'!$B$7:$H$1612,2,0)</f>
        <v>§o vÏ mÆt c¾t ngang ®­êng míi trªn c¹n, §H cÊp V</v>
      </c>
      <c r="D21" s="79" t="str">
        <f>VLOOKUP(B21,'PT giaKS'!$B$7:$H$1612,3,0)</f>
        <v>1 m</v>
      </c>
      <c r="E21" s="80"/>
      <c r="F21" s="183" t="e">
        <f>VLOOKUP(B21,'PT giaKS'!$B$7:$H$1612,7,0)</f>
        <v>#REF!</v>
      </c>
      <c r="G21" s="82" t="e">
        <f t="shared" si="3"/>
        <v>#REF!</v>
      </c>
      <c r="I21" s="791" t="e">
        <f t="shared" si="0"/>
        <v>#REF!</v>
      </c>
    </row>
    <row r="22" spans="1:9" s="87" customFormat="1" ht="15.75" hidden="1">
      <c r="A22" s="77" t="e">
        <f t="shared" si="1"/>
        <v>#REF!</v>
      </c>
      <c r="B22" s="795"/>
      <c r="C22" s="795" t="s">
        <v>320</v>
      </c>
      <c r="D22" s="796"/>
      <c r="E22" s="797"/>
      <c r="F22" s="183"/>
      <c r="G22" s="798" t="e">
        <f>SUM(G23:G25)</f>
        <v>#REF!</v>
      </c>
      <c r="I22" s="791" t="e">
        <f t="shared" si="0"/>
        <v>#REF!</v>
      </c>
    </row>
    <row r="23" spans="1:9" s="83" customFormat="1" ht="30" hidden="1">
      <c r="A23" s="77" t="e">
        <f t="shared" si="1"/>
        <v>#REF!</v>
      </c>
      <c r="B23" s="78" t="s">
        <v>321</v>
      </c>
      <c r="C23" s="78" t="s">
        <v>322</v>
      </c>
      <c r="D23" s="79" t="s">
        <v>308</v>
      </c>
      <c r="E23" s="80"/>
      <c r="F23" s="183" t="e">
        <f>VLOOKUP(B23,'PT giaKS'!$B$7:$H$1612,7,0)</f>
        <v>#REF!</v>
      </c>
      <c r="G23" s="164" t="e">
        <f>ROUND(E23*F23,5)</f>
        <v>#REF!</v>
      </c>
      <c r="I23" s="791" t="e">
        <f t="shared" si="0"/>
        <v>#REF!</v>
      </c>
    </row>
    <row r="24" spans="1:9" s="83" customFormat="1" ht="30" hidden="1">
      <c r="A24" s="77" t="e">
        <f t="shared" si="1"/>
        <v>#REF!</v>
      </c>
      <c r="B24" s="78" t="s">
        <v>316</v>
      </c>
      <c r="C24" s="78" t="s">
        <v>317</v>
      </c>
      <c r="D24" s="79" t="s">
        <v>310</v>
      </c>
      <c r="E24" s="80"/>
      <c r="F24" s="183" t="e">
        <f>VLOOKUP(B24,'PT giaKS'!$B$7:$H$1612,7,0)</f>
        <v>#REF!</v>
      </c>
      <c r="G24" s="164" t="e">
        <f>ROUND(E24*F24,5)</f>
        <v>#REF!</v>
      </c>
      <c r="I24" s="791" t="e">
        <f t="shared" si="0"/>
        <v>#REF!</v>
      </c>
    </row>
    <row r="25" spans="1:9" s="83" customFormat="1" ht="30" hidden="1">
      <c r="A25" s="77" t="e">
        <f t="shared" si="1"/>
        <v>#REF!</v>
      </c>
      <c r="B25" s="78" t="s">
        <v>318</v>
      </c>
      <c r="C25" s="78" t="s">
        <v>319</v>
      </c>
      <c r="D25" s="79" t="s">
        <v>310</v>
      </c>
      <c r="E25" s="799"/>
      <c r="F25" s="183" t="e">
        <f>VLOOKUP(B25,'PT giaKS'!$B$7:$H$1612,7,0)</f>
        <v>#REF!</v>
      </c>
      <c r="G25" s="164" t="e">
        <f>ROUND(E25*F25,5)</f>
        <v>#REF!</v>
      </c>
      <c r="I25" s="791" t="e">
        <f t="shared" si="0"/>
        <v>#REF!</v>
      </c>
    </row>
    <row r="26" spans="1:9" s="87" customFormat="1" ht="15.75" hidden="1">
      <c r="A26" s="77" t="e">
        <f t="shared" si="1"/>
        <v>#REF!</v>
      </c>
      <c r="B26" s="795"/>
      <c r="C26" s="795" t="s">
        <v>323</v>
      </c>
      <c r="D26" s="796"/>
      <c r="E26" s="797"/>
      <c r="F26" s="800"/>
      <c r="G26" s="798" t="e">
        <f>SUM(G27:G28)</f>
        <v>#REF!</v>
      </c>
      <c r="I26" s="791" t="e">
        <f t="shared" si="0"/>
        <v>#REF!</v>
      </c>
    </row>
    <row r="27" spans="1:9" s="83" customFormat="1" ht="30" hidden="1">
      <c r="A27" s="77" t="e">
        <f t="shared" si="1"/>
        <v>#REF!</v>
      </c>
      <c r="B27" s="78" t="s">
        <v>356</v>
      </c>
      <c r="C27" s="78" t="s">
        <v>1022</v>
      </c>
      <c r="D27" s="79" t="s">
        <v>308</v>
      </c>
      <c r="E27" s="80"/>
      <c r="F27" s="183" t="e">
        <f>'PT giaKS'!$H$310</f>
        <v>#REF!</v>
      </c>
      <c r="G27" s="164" t="e">
        <f>ROUND(E27*F27,5)</f>
        <v>#REF!</v>
      </c>
      <c r="I27" s="791" t="e">
        <f t="shared" si="0"/>
        <v>#REF!</v>
      </c>
    </row>
    <row r="28" spans="1:9" s="83" customFormat="1" ht="15.75" hidden="1">
      <c r="A28" s="77" t="e">
        <f t="shared" si="1"/>
        <v>#REF!</v>
      </c>
      <c r="B28" s="78" t="s">
        <v>0</v>
      </c>
      <c r="C28" s="78"/>
      <c r="D28" s="79" t="s">
        <v>0</v>
      </c>
      <c r="E28" s="80"/>
      <c r="F28" s="81"/>
      <c r="G28" s="164"/>
      <c r="I28" s="791">
        <f t="shared" si="0"/>
        <v>0</v>
      </c>
    </row>
    <row r="29" spans="1:9" s="87" customFormat="1" ht="17.100000000000001" hidden="1" customHeight="1">
      <c r="A29" s="77" t="e">
        <f t="shared" si="1"/>
        <v>#REF!</v>
      </c>
      <c r="B29" s="795"/>
      <c r="C29" s="801" t="s">
        <v>324</v>
      </c>
      <c r="D29" s="796"/>
      <c r="E29" s="797"/>
      <c r="F29" s="802"/>
      <c r="G29" s="798" t="e">
        <f>SUM(G30)</f>
        <v>#REF!</v>
      </c>
      <c r="I29" s="791" t="e">
        <f t="shared" si="0"/>
        <v>#REF!</v>
      </c>
    </row>
    <row r="30" spans="1:9" s="83" customFormat="1" ht="19.5" hidden="1" customHeight="1">
      <c r="A30" s="77" t="e">
        <f t="shared" si="1"/>
        <v>#REF!</v>
      </c>
      <c r="B30" s="85" t="s">
        <v>112</v>
      </c>
      <c r="C30" s="85" t="str">
        <f>VLOOKUP(B30,'PT giaKS'!$B$7:$H$1612,2,0)</f>
        <v>Nh©n c«ng ®iÒu tra, thu thËp sè liÖu</v>
      </c>
      <c r="D30" s="86" t="str">
        <f>VLOOKUP(B30,'PT giaKS'!$B$7:$H$1612,3,0)</f>
        <v>1 c«ng</v>
      </c>
      <c r="E30" s="88"/>
      <c r="F30" s="184" t="e">
        <f>VLOOKUP(B30,'PT giaKS'!$B$7:$H$1612,7,0)</f>
        <v>#REF!</v>
      </c>
      <c r="G30" s="712" t="e">
        <f>ROUND(E30*F30,-3)</f>
        <v>#REF!</v>
      </c>
      <c r="I30" s="791" t="e">
        <f t="shared" si="0"/>
        <v>#REF!</v>
      </c>
    </row>
    <row r="31" spans="1:9" s="83" customFormat="1" ht="15.75">
      <c r="A31" s="1096" t="e">
        <f t="shared" si="1"/>
        <v>#REF!</v>
      </c>
      <c r="B31" s="89" t="s">
        <v>0</v>
      </c>
      <c r="C31" s="89" t="s">
        <v>325</v>
      </c>
      <c r="D31" s="90"/>
      <c r="E31" s="91"/>
      <c r="F31" s="710"/>
      <c r="G31" s="166" t="e">
        <f>SUM(G32:G43)</f>
        <v>#REF!</v>
      </c>
      <c r="I31" s="791" t="e">
        <f t="shared" si="0"/>
        <v>#REF!</v>
      </c>
    </row>
    <row r="32" spans="1:9" s="83" customFormat="1" ht="15.75" hidden="1">
      <c r="A32" s="77" t="e">
        <f t="shared" si="1"/>
        <v>#REF!</v>
      </c>
      <c r="B32" s="78" t="s">
        <v>112</v>
      </c>
      <c r="C32" s="78" t="str">
        <f>VLOOKUP(B32,'PT giaKS'!$B$7:$H$1612,2,0)</f>
        <v>Nh©n c«ng ®iÒu tra, thu thËp sè liÖu</v>
      </c>
      <c r="D32" s="79" t="str">
        <f>VLOOKUP(B32,'PT giaKS'!$B$7:$H$1612,3,0)</f>
        <v>1 c«ng</v>
      </c>
      <c r="E32" s="80"/>
      <c r="F32" s="183" t="e">
        <f>VLOOKUP(B32,'PT giaKS'!$B$7:$H$1612,7,0)</f>
        <v>#REF!</v>
      </c>
      <c r="G32" s="82" t="e">
        <f t="shared" ref="G32" si="7">ROUND(E32*F32,5)</f>
        <v>#REF!</v>
      </c>
      <c r="I32" s="791" t="e">
        <f t="shared" si="0"/>
        <v>#REF!</v>
      </c>
    </row>
    <row r="33" spans="1:9" s="83" customFormat="1" ht="30">
      <c r="A33" s="77" t="e">
        <f t="shared" si="1"/>
        <v>#REF!</v>
      </c>
      <c r="B33" s="78" t="s">
        <v>383</v>
      </c>
      <c r="C33" s="78" t="str">
        <f>VLOOKUP(B33,'PT giaKS'!$B$7:$H$1612,2,0)</f>
        <v>Khoan xoay b¬m röa trªn c¹n ®é s©u ®Õn 30m,CÊp ®Êt ®¸ I -III</v>
      </c>
      <c r="D33" s="79" t="s">
        <v>310</v>
      </c>
      <c r="E33" s="80">
        <v>7</v>
      </c>
      <c r="F33" s="183" t="e">
        <f>VLOOKUP(B33,'PT giaKS'!$B$7:$H$1612,7,0)</f>
        <v>#REF!</v>
      </c>
      <c r="G33" s="164" t="e">
        <f t="shared" ref="G33:G39" si="8">ROUND(E33*F33,5)</f>
        <v>#REF!</v>
      </c>
      <c r="I33" s="791" t="e">
        <f t="shared" si="0"/>
        <v>#REF!</v>
      </c>
    </row>
    <row r="34" spans="1:9" s="83" customFormat="1" ht="30" hidden="1">
      <c r="A34" s="77" t="e">
        <f t="shared" si="1"/>
        <v>#REF!</v>
      </c>
      <c r="B34" s="78" t="s">
        <v>384</v>
      </c>
      <c r="C34" s="78" t="str">
        <f>VLOOKUP(B34,'PT giaKS'!$B$7:$H$1612,2,0)</f>
        <v>Khoan xoay b¬m röa trªn c¹n ®é s©u ®Õn 30m,CÊp ®Êt ®¸ IV -VI</v>
      </c>
      <c r="D34" s="79" t="s">
        <v>310</v>
      </c>
      <c r="E34" s="80">
        <v>0</v>
      </c>
      <c r="F34" s="183" t="e">
        <f>VLOOKUP(B34,'PT giaKS'!$B$7:$H$1612,7,0)</f>
        <v>#REF!</v>
      </c>
      <c r="G34" s="164" t="e">
        <f t="shared" si="8"/>
        <v>#REF!</v>
      </c>
      <c r="I34" s="791" t="e">
        <f t="shared" si="0"/>
        <v>#REF!</v>
      </c>
    </row>
    <row r="35" spans="1:9" s="83" customFormat="1" ht="30" hidden="1">
      <c r="A35" s="77" t="e">
        <f t="shared" si="1"/>
        <v>#REF!</v>
      </c>
      <c r="B35" s="78" t="s">
        <v>385</v>
      </c>
      <c r="C35" s="78" t="str">
        <f>VLOOKUP(B35,'PT giaKS'!$B$7:$H$1612,2,0)</f>
        <v>Khoan xoay b¬m röa trªn c¹n ®é s©u ®Õn 30m,CÊp ®®¸VII-VIII</v>
      </c>
      <c r="D35" s="79" t="s">
        <v>310</v>
      </c>
      <c r="E35" s="80">
        <v>0</v>
      </c>
      <c r="F35" s="183" t="e">
        <f>VLOOKUP(B35,'PT giaKS'!$B$7:$H$1612,7,0)</f>
        <v>#REF!</v>
      </c>
      <c r="G35" s="164" t="e">
        <f t="shared" ref="G35" si="9">ROUND(E35*F35,5)</f>
        <v>#REF!</v>
      </c>
      <c r="I35" s="791" t="e">
        <f t="shared" si="0"/>
        <v>#REF!</v>
      </c>
    </row>
    <row r="36" spans="1:9" s="83" customFormat="1" ht="30" hidden="1">
      <c r="A36" s="77" t="e">
        <f t="shared" si="1"/>
        <v>#REF!</v>
      </c>
      <c r="B36" s="78" t="s">
        <v>330</v>
      </c>
      <c r="C36" s="78" t="str">
        <f>VLOOKUP(B36,'PT giaKS'!$B$7:$H$1612,2,0)</f>
        <v>TN c¬ lý ho¸ cña ®Êt nÐn 1 trôc cã në h«ng</v>
      </c>
      <c r="D36" s="79" t="s">
        <v>332</v>
      </c>
      <c r="E36" s="80">
        <v>0</v>
      </c>
      <c r="F36" s="183" t="e">
        <f>VLOOKUP(B36,'PT giaKS'!$B$7:$H$1612,7,0)</f>
        <v>#REF!</v>
      </c>
      <c r="G36" s="164" t="e">
        <f t="shared" si="8"/>
        <v>#REF!</v>
      </c>
      <c r="I36" s="791" t="e">
        <f t="shared" si="0"/>
        <v>#REF!</v>
      </c>
    </row>
    <row r="37" spans="1:9" s="83" customFormat="1" ht="27" hidden="1" customHeight="1">
      <c r="A37" s="77" t="e">
        <f t="shared" si="1"/>
        <v>#REF!</v>
      </c>
      <c r="B37" s="85" t="s">
        <v>333</v>
      </c>
      <c r="C37" s="85" t="str">
        <f>VLOOKUP(B37,'PT giaKS'!$B$7:$H$1612,2,0)</f>
        <v>ThÝ nghiÖm nÐn sËp mÉu ®Êt - trong phßng</v>
      </c>
      <c r="D37" s="86" t="s">
        <v>332</v>
      </c>
      <c r="E37" s="88">
        <v>0</v>
      </c>
      <c r="F37" s="184" t="e">
        <f>VLOOKUP(B37,'PT giaKS'!$B$7:$H$1612,7,0)</f>
        <v>#REF!</v>
      </c>
      <c r="G37" s="165" t="e">
        <f t="shared" si="8"/>
        <v>#REF!</v>
      </c>
      <c r="I37" s="791" t="e">
        <f t="shared" si="0"/>
        <v>#REF!</v>
      </c>
    </row>
    <row r="38" spans="1:9" s="83" customFormat="1" ht="15.75" hidden="1">
      <c r="A38" s="77" t="e">
        <f t="shared" si="1"/>
        <v>#REF!</v>
      </c>
      <c r="B38" s="284" t="s">
        <v>112</v>
      </c>
      <c r="C38" s="284" t="str">
        <f>VLOOKUP(B38,'PT giaKS'!$B$7:$H$1612,2,0)</f>
        <v>Nh©n c«ng ®iÒu tra, thu thËp sè liÖu</v>
      </c>
      <c r="D38" s="90" t="s">
        <v>306</v>
      </c>
      <c r="E38" s="91">
        <v>0</v>
      </c>
      <c r="F38" s="710" t="e">
        <f>VLOOKUP(B38,'PT giaKS'!$B$7:$H$1612,7,0)</f>
        <v>#REF!</v>
      </c>
      <c r="G38" s="804" t="e">
        <f t="shared" si="8"/>
        <v>#REF!</v>
      </c>
      <c r="I38" s="791" t="e">
        <f t="shared" si="0"/>
        <v>#REF!</v>
      </c>
    </row>
    <row r="39" spans="1:9" s="83" customFormat="1" ht="30">
      <c r="A39" s="77" t="e">
        <f t="shared" si="1"/>
        <v>#REF!</v>
      </c>
      <c r="B39" s="78" t="s">
        <v>335</v>
      </c>
      <c r="C39" s="78" t="str">
        <f>VLOOKUP(B39,'PT giaKS'!$B$7:$H$1612,2,0)</f>
        <v>ThÝ nghiÖm ®Çm nÐn tiªu chuÈn mÉu ®Êt (PPI-D)</v>
      </c>
      <c r="D39" s="79" t="s">
        <v>332</v>
      </c>
      <c r="E39" s="80">
        <v>2</v>
      </c>
      <c r="F39" s="183" t="e">
        <f>VLOOKUP(B39,'PT giaKS'!$B$7:$H$1612,7,0)</f>
        <v>#REF!</v>
      </c>
      <c r="G39" s="164" t="e">
        <f t="shared" si="8"/>
        <v>#REF!</v>
      </c>
      <c r="I39" s="791" t="e">
        <f t="shared" si="0"/>
        <v>#REF!</v>
      </c>
    </row>
    <row r="40" spans="1:9" s="83" customFormat="1" ht="30">
      <c r="A40" s="77" t="e">
        <f t="shared" si="1"/>
        <v>#REF!</v>
      </c>
      <c r="B40" s="78" t="s">
        <v>1898</v>
      </c>
      <c r="C40" s="78" t="str">
        <f>VLOOKUP(B40,'PT giaKS'!$B$7:$H$1612,2,0)</f>
        <v>ThÝ nghiÖm 9 chØ tiªu c¬ lý mÉu nguyªn d¹ng</v>
      </c>
      <c r="D40" s="79" t="s">
        <v>332</v>
      </c>
      <c r="E40" s="80">
        <v>1</v>
      </c>
      <c r="F40" s="183" t="e">
        <f>VLOOKUP(B40,'PT giaKS'!$B$7:$H$1612,7,0)</f>
        <v>#REF!</v>
      </c>
      <c r="G40" s="164" t="e">
        <f t="shared" ref="G40" si="10">ROUND(E40*F40,5)</f>
        <v>#REF!</v>
      </c>
      <c r="I40" s="791" t="e">
        <f t="shared" si="0"/>
        <v>#REF!</v>
      </c>
    </row>
    <row r="41" spans="1:9" s="83" customFormat="1" ht="30">
      <c r="A41" s="77" t="e">
        <f t="shared" si="1"/>
        <v>#REF!</v>
      </c>
      <c r="B41" s="78" t="s">
        <v>1913</v>
      </c>
      <c r="C41" s="78" t="str">
        <f>VLOOKUP(B41,'PT giaKS'!$B$7:$H$1612,2,0)</f>
        <v>ThÝ nghiÖm 7 chØ tiªu c¬ lý mÉu kh«ng nguyªn d¹ng</v>
      </c>
      <c r="D41" s="79" t="s">
        <v>332</v>
      </c>
      <c r="E41" s="80">
        <v>2</v>
      </c>
      <c r="F41" s="183" t="e">
        <f>VLOOKUP(B41,'PT giaKS'!$B$7:$H$1612,7,0)</f>
        <v>#REF!</v>
      </c>
      <c r="G41" s="164" t="e">
        <f t="shared" ref="G41" si="11">ROUND(E41*F41,5)</f>
        <v>#REF!</v>
      </c>
      <c r="I41" s="791" t="e">
        <f t="shared" si="0"/>
        <v>#REF!</v>
      </c>
    </row>
    <row r="42" spans="1:9" s="55" customFormat="1" ht="15.75" hidden="1">
      <c r="A42" s="77" t="e">
        <f>IF(F42&lt;&gt;0,A39+I42,A39)</f>
        <v>#REF!</v>
      </c>
      <c r="B42" s="805" t="s">
        <v>393</v>
      </c>
      <c r="C42" s="805" t="s">
        <v>394</v>
      </c>
      <c r="D42" s="806" t="s">
        <v>395</v>
      </c>
      <c r="E42" s="807"/>
      <c r="F42" s="710" t="e">
        <f>VLOOKUP(B42,'PT giaKS'!$B$7:$H$1612,7,0)</f>
        <v>#REF!</v>
      </c>
      <c r="G42" s="808" t="e">
        <f>ROUND(E42*F42,5)</f>
        <v>#REF!</v>
      </c>
      <c r="I42" s="791" t="e">
        <f t="shared" si="0"/>
        <v>#REF!</v>
      </c>
    </row>
    <row r="43" spans="1:9" s="55" customFormat="1" ht="15.75" hidden="1">
      <c r="A43" s="77" t="e">
        <f t="shared" si="1"/>
        <v>#REF!</v>
      </c>
      <c r="B43" s="51" t="s">
        <v>396</v>
      </c>
      <c r="C43" s="51" t="s">
        <v>397</v>
      </c>
      <c r="D43" s="52" t="s">
        <v>395</v>
      </c>
      <c r="E43" s="84"/>
      <c r="F43" s="183" t="e">
        <f>VLOOKUP(B43,'PT giaKS'!$B$7:$H$1612,7,0)</f>
        <v>#REF!</v>
      </c>
      <c r="G43" s="54" t="e">
        <f>ROUND(E43*F43,5)</f>
        <v>#REF!</v>
      </c>
      <c r="I43" s="791" t="e">
        <f t="shared" si="0"/>
        <v>#REF!</v>
      </c>
    </row>
    <row r="44" spans="1:9" s="83" customFormat="1" ht="15.75">
      <c r="A44" s="1094" t="e">
        <f t="shared" si="1"/>
        <v>#REF!</v>
      </c>
      <c r="B44" s="85" t="s">
        <v>1746</v>
      </c>
      <c r="C44" s="85"/>
      <c r="D44" s="86"/>
      <c r="E44" s="858"/>
      <c r="F44" s="859"/>
      <c r="G44" s="165"/>
      <c r="I44" s="791">
        <f t="shared" si="0"/>
        <v>1</v>
      </c>
    </row>
    <row r="45" spans="1:9" s="62" customFormat="1" ht="19.5" customHeight="1">
      <c r="A45" s="1095" t="e">
        <f t="shared" si="1"/>
        <v>#REF!</v>
      </c>
      <c r="B45" s="72"/>
      <c r="C45" s="72" t="s">
        <v>337</v>
      </c>
      <c r="D45" s="73"/>
      <c r="E45" s="74"/>
      <c r="F45" s="75"/>
      <c r="G45" s="857" t="e">
        <f>SUM(G8:G43)/2</f>
        <v>#REF!</v>
      </c>
      <c r="I45" s="791" t="e">
        <f t="shared" si="0"/>
        <v>#REF!</v>
      </c>
    </row>
    <row r="46" spans="1:9" s="55" customFormat="1" ht="19.5" customHeight="1">
      <c r="A46" s="1096" t="e">
        <f t="shared" si="1"/>
        <v>#REF!</v>
      </c>
      <c r="B46" s="51"/>
      <c r="C46" s="92" t="s">
        <v>338</v>
      </c>
      <c r="D46" s="52"/>
      <c r="E46" s="84"/>
      <c r="F46" s="93"/>
      <c r="G46" s="803" t="e">
        <f>ROUNDDOWN(G45,-3)</f>
        <v>#REF!</v>
      </c>
      <c r="I46" s="791" t="e">
        <f t="shared" si="0"/>
        <v>#REF!</v>
      </c>
    </row>
    <row r="47" spans="1:9" s="55" customFormat="1" ht="17.100000000000001" customHeight="1" thickBot="1">
      <c r="A47" s="57" t="s">
        <v>0</v>
      </c>
      <c r="B47" s="58" t="s">
        <v>1746</v>
      </c>
      <c r="C47" s="58" t="s">
        <v>0</v>
      </c>
      <c r="D47" s="59" t="s">
        <v>0</v>
      </c>
      <c r="E47" s="98"/>
      <c r="F47" s="60"/>
      <c r="G47" s="61"/>
      <c r="I47" s="791">
        <f t="shared" si="0"/>
        <v>1</v>
      </c>
    </row>
    <row r="48" spans="1:9" ht="6" customHeight="1"/>
    <row r="49" spans="2:7" ht="15.75">
      <c r="F49" s="1062" t="s">
        <v>1832</v>
      </c>
      <c r="G49" s="68"/>
    </row>
    <row r="50" spans="2:7" ht="15.75">
      <c r="B50" s="1026" t="s">
        <v>1805</v>
      </c>
      <c r="F50" s="1026" t="s">
        <v>1806</v>
      </c>
      <c r="G50"/>
    </row>
    <row r="51" spans="2:7" ht="17.25">
      <c r="B51" s="1027"/>
      <c r="F51" s="1023"/>
      <c r="G51"/>
    </row>
    <row r="52" spans="2:7" ht="44.25" customHeight="1">
      <c r="B52" s="1027"/>
      <c r="F52" s="1023"/>
      <c r="G52"/>
    </row>
    <row r="53" spans="2:7" ht="15.75">
      <c r="B53" s="167" t="s">
        <v>2007</v>
      </c>
      <c r="F53" s="167" t="s">
        <v>1808</v>
      </c>
      <c r="G53"/>
    </row>
    <row r="54" spans="2:7" ht="15.75">
      <c r="B54" s="856"/>
      <c r="C54" s="312"/>
      <c r="F54" s="1132" t="s">
        <v>2008</v>
      </c>
      <c r="G54" s="312"/>
    </row>
    <row r="55" spans="2:7">
      <c r="B55" s="162"/>
      <c r="F55" s="1029"/>
      <c r="G55"/>
    </row>
    <row r="56" spans="2:7" ht="15.75">
      <c r="F56" s="167"/>
    </row>
  </sheetData>
  <autoFilter ref="A6:I47" xr:uid="{00000000-0009-0000-0000-0000F7000000}">
    <filterColumn colId="8">
      <customFilters>
        <customFilter operator="notEqual" val=" "/>
      </customFilters>
    </filterColumn>
  </autoFilter>
  <mergeCells count="4">
    <mergeCell ref="A1:G1"/>
    <mergeCell ref="A2:G2"/>
    <mergeCell ref="A3:G3"/>
    <mergeCell ref="A4:G4"/>
  </mergeCells>
  <phoneticPr fontId="18" type="noConversion"/>
  <pageMargins left="0.67" right="0.2" top="0.75" bottom="0.75" header="0.5" footer="0.5"/>
  <pageSetup paperSize="9" orientation="portrait" verticalDpi="0" r:id="rId1"/>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63229-40BB-4E51-9AA5-45112F4FDEC9}">
  <sheetPr filterMode="1">
    <tabColor rgb="FF00B050"/>
  </sheetPr>
  <dimension ref="A1:R1618"/>
  <sheetViews>
    <sheetView showZeros="0" workbookViewId="0">
      <pane xSplit="4" ySplit="6" topLeftCell="E1613" activePane="bottomRight" state="frozen"/>
      <selection activeCell="H77" sqref="H77"/>
      <selection pane="topRight" activeCell="H77" sqref="H77"/>
      <selection pane="bottomLeft" activeCell="H77" sqref="H77"/>
      <selection pane="bottomRight" activeCell="H77" sqref="H77"/>
    </sheetView>
  </sheetViews>
  <sheetFormatPr defaultRowHeight="15"/>
  <cols>
    <col min="1" max="1" width="5.375" style="3" customWidth="1"/>
    <col min="2" max="2" width="9.625" customWidth="1"/>
    <col min="3" max="3" width="39.125" customWidth="1"/>
    <col min="4" max="4" width="5.75" style="3" customWidth="1"/>
    <col min="5" max="5" width="17.75" style="128" customWidth="1"/>
    <col min="6" max="6" width="10.625" style="12" customWidth="1"/>
    <col min="7" max="7" width="5.125" style="129" customWidth="1"/>
    <col min="8" max="8" width="12.75" style="12" customWidth="1"/>
    <col min="9" max="9" width="12.5" style="12" customWidth="1"/>
    <col min="10" max="10" width="9" style="3"/>
  </cols>
  <sheetData>
    <row r="1" spans="1:18" ht="24" customHeight="1">
      <c r="A1" s="1182" t="s">
        <v>412</v>
      </c>
      <c r="B1" s="1182"/>
      <c r="C1" s="1182"/>
      <c r="D1" s="1182"/>
      <c r="E1" s="1182"/>
      <c r="F1" s="1182"/>
      <c r="G1" s="1182"/>
      <c r="H1" s="1182"/>
      <c r="I1" s="64"/>
      <c r="K1" s="99" t="s">
        <v>413</v>
      </c>
      <c r="L1" s="99" t="s">
        <v>414</v>
      </c>
      <c r="M1" s="99" t="s">
        <v>415</v>
      </c>
      <c r="N1" s="99" t="s">
        <v>206</v>
      </c>
      <c r="O1" s="99" t="s">
        <v>416</v>
      </c>
      <c r="P1" s="99" t="s">
        <v>417</v>
      </c>
      <c r="Q1" s="99" t="s">
        <v>418</v>
      </c>
      <c r="R1" s="99" t="s">
        <v>419</v>
      </c>
    </row>
    <row r="2" spans="1:18" ht="16.5" hidden="1">
      <c r="A2" s="1183"/>
      <c r="B2" s="1183"/>
      <c r="C2" s="1183"/>
      <c r="D2" s="1183"/>
      <c r="E2" s="1183"/>
      <c r="F2" s="1183"/>
      <c r="G2" s="1183"/>
      <c r="H2" s="1183"/>
      <c r="I2" s="63"/>
      <c r="K2" s="100">
        <v>1</v>
      </c>
      <c r="L2" s="100">
        <v>1</v>
      </c>
      <c r="M2" s="100">
        <v>1</v>
      </c>
      <c r="N2" s="101">
        <v>0.7</v>
      </c>
      <c r="O2" s="101">
        <v>0.06</v>
      </c>
      <c r="P2" s="101"/>
      <c r="Q2" s="101">
        <v>0.03</v>
      </c>
      <c r="R2" s="101">
        <v>0.05</v>
      </c>
    </row>
    <row r="3" spans="1:18" s="7" customFormat="1" ht="16.5" hidden="1">
      <c r="A3" s="1183"/>
      <c r="B3" s="1183"/>
      <c r="C3" s="1183"/>
      <c r="D3" s="1183"/>
      <c r="E3" s="1183"/>
      <c r="F3" s="1183"/>
      <c r="G3" s="1183"/>
      <c r="H3" s="1183"/>
      <c r="I3" s="63"/>
      <c r="J3" s="790"/>
    </row>
    <row r="4" spans="1:18" s="7" customFormat="1" ht="16.5" hidden="1">
      <c r="A4" s="1183"/>
      <c r="B4" s="1183"/>
      <c r="C4" s="1183"/>
      <c r="D4" s="1183"/>
      <c r="E4" s="1183"/>
      <c r="F4" s="1183"/>
      <c r="G4" s="1183"/>
      <c r="H4" s="1183"/>
      <c r="I4" s="63"/>
      <c r="J4" s="790"/>
    </row>
    <row r="5" spans="1:18" ht="16.5" thickBot="1">
      <c r="A5" s="49"/>
      <c r="B5" s="2"/>
      <c r="C5" s="2"/>
      <c r="D5" s="49"/>
      <c r="E5" s="102"/>
      <c r="F5" s="1"/>
      <c r="G5" s="103"/>
      <c r="H5" s="1"/>
      <c r="I5" s="1"/>
    </row>
    <row r="6" spans="1:18" s="111" customFormat="1" ht="45" customHeight="1">
      <c r="A6" s="104" t="s">
        <v>136</v>
      </c>
      <c r="B6" s="6" t="s">
        <v>148</v>
      </c>
      <c r="C6" s="6" t="s">
        <v>141</v>
      </c>
      <c r="D6" s="6" t="s">
        <v>149</v>
      </c>
      <c r="E6" s="105" t="s">
        <v>150</v>
      </c>
      <c r="F6" s="106" t="s">
        <v>139</v>
      </c>
      <c r="G6" s="107" t="s">
        <v>420</v>
      </c>
      <c r="H6" s="108" t="s">
        <v>137</v>
      </c>
      <c r="I6" s="109"/>
      <c r="J6" s="110">
        <f>Khaosat!I6</f>
        <v>1</v>
      </c>
    </row>
    <row r="7" spans="1:18" s="263" customFormat="1" ht="17.100000000000001" hidden="1" customHeight="1">
      <c r="A7" s="809">
        <f>J7</f>
        <v>0</v>
      </c>
      <c r="B7" s="265" t="s">
        <v>589</v>
      </c>
      <c r="C7" s="265" t="s">
        <v>590</v>
      </c>
      <c r="D7" s="266" t="s">
        <v>314</v>
      </c>
      <c r="E7" s="270"/>
      <c r="F7" s="267"/>
      <c r="G7" s="271"/>
      <c r="H7" s="268">
        <f>H20</f>
        <v>3226102.1293299999</v>
      </c>
      <c r="I7" s="272"/>
      <c r="J7" s="273">
        <f>IF(SUMIF(Khaosat!$B$6:$B$47,'PT giaKS'!B7,Khaosat!$I$6:$I$47)&lt;&gt;0,$J$6,0)</f>
        <v>0</v>
      </c>
    </row>
    <row r="8" spans="1:18" s="55" customFormat="1" ht="17.100000000000001" hidden="1" customHeight="1">
      <c r="A8" s="50">
        <f>IF(B8&lt;&gt;0,A7+J8,A7)</f>
        <v>0</v>
      </c>
      <c r="B8" s="51"/>
      <c r="C8" s="51" t="s">
        <v>125</v>
      </c>
      <c r="D8" s="52" t="s">
        <v>0</v>
      </c>
      <c r="E8" s="112"/>
      <c r="F8" s="53"/>
      <c r="G8" s="117"/>
      <c r="H8" s="56">
        <f>ROUND(SUM(H9:H9),5)</f>
        <v>1534985.5376800001</v>
      </c>
      <c r="I8" s="115"/>
      <c r="J8" s="110">
        <f>J7</f>
        <v>0</v>
      </c>
    </row>
    <row r="9" spans="1:18" s="55" customFormat="1" ht="17.100000000000001" hidden="1" customHeight="1">
      <c r="A9" s="50">
        <f t="shared" ref="A9:A72" si="0">IF(B9&lt;&gt;0,A8+J9,A8)</f>
        <v>0</v>
      </c>
      <c r="B9" s="51"/>
      <c r="C9" s="51" t="s">
        <v>1856</v>
      </c>
      <c r="D9" s="52"/>
      <c r="E9" s="112">
        <v>1</v>
      </c>
      <c r="F9" s="53">
        <f>357516*1650/450*0.927*2400/1900</f>
        <v>1534985.5376842108</v>
      </c>
      <c r="G9" s="117">
        <f>hsnc</f>
        <v>1</v>
      </c>
      <c r="H9" s="54">
        <f>ROUND(E9*F9*G9,5)</f>
        <v>1534985.5376800001</v>
      </c>
      <c r="I9" s="114"/>
      <c r="J9" s="110">
        <f>J7</f>
        <v>0</v>
      </c>
    </row>
    <row r="10" spans="1:18" s="55" customFormat="1" ht="17.100000000000001" hidden="1" customHeight="1">
      <c r="A10" s="50">
        <f t="shared" si="0"/>
        <v>0</v>
      </c>
      <c r="B10" s="51"/>
      <c r="C10" s="170" t="s">
        <v>556</v>
      </c>
      <c r="D10" s="171" t="s">
        <v>136</v>
      </c>
      <c r="E10" s="172" t="s">
        <v>205</v>
      </c>
      <c r="F10" s="53"/>
      <c r="G10" s="117"/>
      <c r="H10" s="173">
        <f>ROUND(H8,5)</f>
        <v>1534985.5376800001</v>
      </c>
      <c r="I10" s="114"/>
      <c r="J10" s="110">
        <f>J7</f>
        <v>0</v>
      </c>
    </row>
    <row r="11" spans="1:18" s="55" customFormat="1" ht="17.100000000000001" hidden="1" customHeight="1">
      <c r="A11" s="50">
        <f t="shared" si="0"/>
        <v>0</v>
      </c>
      <c r="B11" s="51"/>
      <c r="C11" s="170" t="s">
        <v>557</v>
      </c>
      <c r="D11" s="171" t="s">
        <v>204</v>
      </c>
      <c r="E11" s="172" t="s">
        <v>558</v>
      </c>
      <c r="F11" s="53"/>
      <c r="G11" s="117"/>
      <c r="H11" s="173">
        <f>SUM(H12:H13)</f>
        <v>1151239.1532600001</v>
      </c>
      <c r="I11" s="114"/>
      <c r="J11" s="110">
        <f>J7</f>
        <v>0</v>
      </c>
    </row>
    <row r="12" spans="1:18" s="55" customFormat="1" ht="17.100000000000001" hidden="1" customHeight="1">
      <c r="A12" s="50">
        <f t="shared" si="0"/>
        <v>0</v>
      </c>
      <c r="B12" s="51"/>
      <c r="C12" s="51" t="s">
        <v>426</v>
      </c>
      <c r="D12" s="52" t="s">
        <v>559</v>
      </c>
      <c r="E12" s="116">
        <f>cpc</f>
        <v>0.7</v>
      </c>
      <c r="F12" s="174"/>
      <c r="G12" s="175"/>
      <c r="H12" s="54">
        <f>E12*H8</f>
        <v>1074489.876376</v>
      </c>
      <c r="I12" s="114"/>
      <c r="J12" s="110">
        <f>J7</f>
        <v>0</v>
      </c>
    </row>
    <row r="13" spans="1:18" s="55" customFormat="1" ht="30" hidden="1">
      <c r="A13" s="50">
        <f t="shared" si="0"/>
        <v>0</v>
      </c>
      <c r="B13" s="51"/>
      <c r="C13" s="78" t="s">
        <v>560</v>
      </c>
      <c r="D13" s="79" t="s">
        <v>561</v>
      </c>
      <c r="E13" s="176">
        <f>hmc</f>
        <v>0.05</v>
      </c>
      <c r="F13" s="53"/>
      <c r="G13" s="113"/>
      <c r="H13" s="54">
        <f>E13*H10</f>
        <v>76749.276884000006</v>
      </c>
      <c r="I13" s="114"/>
      <c r="J13" s="110">
        <f>J7</f>
        <v>0</v>
      </c>
    </row>
    <row r="14" spans="1:18" s="55" customFormat="1" ht="17.100000000000001" hidden="1" customHeight="1">
      <c r="A14" s="50">
        <f t="shared" si="0"/>
        <v>0</v>
      </c>
      <c r="B14" s="51"/>
      <c r="C14" s="170" t="s">
        <v>562</v>
      </c>
      <c r="D14" s="171" t="s">
        <v>563</v>
      </c>
      <c r="E14" s="179">
        <f>tn</f>
        <v>0.06</v>
      </c>
      <c r="F14" s="177"/>
      <c r="G14" s="178"/>
      <c r="H14" s="181">
        <f>SUM(H10:H11)*E14</f>
        <v>161173.48145640001</v>
      </c>
      <c r="I14" s="114"/>
      <c r="J14" s="110">
        <f>J7</f>
        <v>0</v>
      </c>
    </row>
    <row r="15" spans="1:18" s="55" customFormat="1" ht="17.100000000000001" hidden="1" customHeight="1">
      <c r="A15" s="50">
        <f t="shared" si="0"/>
        <v>0</v>
      </c>
      <c r="B15" s="51"/>
      <c r="C15" s="92" t="s">
        <v>1879</v>
      </c>
      <c r="D15" s="171" t="s">
        <v>227</v>
      </c>
      <c r="E15" s="180" t="s">
        <v>564</v>
      </c>
      <c r="F15" s="174"/>
      <c r="G15" s="175"/>
      <c r="H15" s="173">
        <f>SUM(H16:H17)</f>
        <v>85421.945171892003</v>
      </c>
      <c r="I15" s="114"/>
      <c r="J15" s="110">
        <f>J7</f>
        <v>0</v>
      </c>
    </row>
    <row r="16" spans="1:18" s="55" customFormat="1" ht="17.100000000000001" hidden="1" customHeight="1">
      <c r="A16" s="50">
        <f t="shared" si="0"/>
        <v>0</v>
      </c>
      <c r="B16" s="51"/>
      <c r="C16" s="51" t="s">
        <v>427</v>
      </c>
      <c r="D16" s="52" t="s">
        <v>428</v>
      </c>
      <c r="E16" s="1093">
        <f>paks</f>
        <v>0</v>
      </c>
      <c r="F16" s="174"/>
      <c r="G16" s="175"/>
      <c r="H16" s="54">
        <f>(H10+H11+H14)*E16</f>
        <v>0</v>
      </c>
      <c r="I16" s="114"/>
      <c r="J16" s="110">
        <f>J7</f>
        <v>0</v>
      </c>
    </row>
    <row r="17" spans="1:10" s="55" customFormat="1" ht="17.100000000000001" hidden="1" customHeight="1">
      <c r="A17" s="50">
        <f t="shared" si="0"/>
        <v>0</v>
      </c>
      <c r="B17" s="51"/>
      <c r="C17" s="51" t="s">
        <v>429</v>
      </c>
      <c r="D17" s="52" t="s">
        <v>430</v>
      </c>
      <c r="E17" s="1093">
        <f>bcks</f>
        <v>0.03</v>
      </c>
      <c r="F17" s="53"/>
      <c r="G17" s="113"/>
      <c r="H17" s="54">
        <f>(H10+H11+H14)*E17</f>
        <v>85421.945171892003</v>
      </c>
      <c r="I17" s="114"/>
      <c r="J17" s="110">
        <f>J7</f>
        <v>0</v>
      </c>
    </row>
    <row r="18" spans="1:10" s="55" customFormat="1" ht="17.100000000000001" hidden="1" customHeight="1">
      <c r="A18" s="50">
        <f t="shared" si="0"/>
        <v>0</v>
      </c>
      <c r="B18" s="51"/>
      <c r="C18" s="170" t="s">
        <v>565</v>
      </c>
      <c r="D18" s="171" t="s">
        <v>218</v>
      </c>
      <c r="E18" s="172" t="s">
        <v>566</v>
      </c>
      <c r="F18" s="53"/>
      <c r="G18" s="113"/>
      <c r="H18" s="173">
        <f>H10+H11+H14+H15</f>
        <v>2932820.1175682922</v>
      </c>
      <c r="I18" s="114"/>
      <c r="J18" s="110">
        <f>J7</f>
        <v>0</v>
      </c>
    </row>
    <row r="19" spans="1:10" s="55" customFormat="1" ht="17.100000000000001" hidden="1" customHeight="1">
      <c r="A19" s="50">
        <f t="shared" si="0"/>
        <v>0</v>
      </c>
      <c r="B19" s="51"/>
      <c r="C19" s="51" t="s">
        <v>567</v>
      </c>
      <c r="D19" s="52" t="s">
        <v>222</v>
      </c>
      <c r="E19" s="112" t="s">
        <v>1917</v>
      </c>
      <c r="F19" s="174"/>
      <c r="G19" s="175"/>
      <c r="H19" s="54">
        <f>ROUND(H18*10/100,5)</f>
        <v>293282.01176000002</v>
      </c>
      <c r="I19" s="114"/>
      <c r="J19" s="110">
        <f>J7</f>
        <v>0</v>
      </c>
    </row>
    <row r="20" spans="1:10" s="55" customFormat="1" ht="17.100000000000001" hidden="1" customHeight="1">
      <c r="A20" s="50">
        <f t="shared" si="0"/>
        <v>0</v>
      </c>
      <c r="B20" s="51"/>
      <c r="C20" s="170" t="s">
        <v>568</v>
      </c>
      <c r="D20" s="171" t="s">
        <v>225</v>
      </c>
      <c r="E20" s="172" t="s">
        <v>192</v>
      </c>
      <c r="F20" s="53"/>
      <c r="G20" s="117"/>
      <c r="H20" s="56">
        <f>ROUND(H18+H19,5)</f>
        <v>3226102.1293299999</v>
      </c>
      <c r="I20" s="115"/>
      <c r="J20" s="110">
        <f>J7</f>
        <v>0</v>
      </c>
    </row>
    <row r="21" spans="1:10" s="263" customFormat="1" ht="17.100000000000001" hidden="1" customHeight="1">
      <c r="A21" s="264">
        <f t="shared" si="0"/>
        <v>0</v>
      </c>
      <c r="B21" s="265" t="s">
        <v>339</v>
      </c>
      <c r="C21" s="265" t="s">
        <v>340</v>
      </c>
      <c r="D21" s="266" t="s">
        <v>314</v>
      </c>
      <c r="E21" s="270"/>
      <c r="F21" s="267"/>
      <c r="G21" s="271"/>
      <c r="H21" s="268" t="e">
        <f>H41</f>
        <v>#REF!</v>
      </c>
      <c r="I21" s="272"/>
      <c r="J21" s="273">
        <f>IF(SUMIF(Khaosat!$B$6:$B$47,'PT giaKS'!B21,Khaosat!$I$6:$I$47)&lt;&gt;0,$J$6,0)</f>
        <v>0</v>
      </c>
    </row>
    <row r="22" spans="1:10" s="55" customFormat="1" ht="17.100000000000001" hidden="1" customHeight="1">
      <c r="A22" s="295">
        <f t="shared" si="0"/>
        <v>0</v>
      </c>
      <c r="B22" s="51"/>
      <c r="C22" s="51" t="s">
        <v>128</v>
      </c>
      <c r="D22" s="52" t="s">
        <v>0</v>
      </c>
      <c r="E22" s="112"/>
      <c r="F22" s="53"/>
      <c r="G22" s="117"/>
      <c r="H22" s="56">
        <f>ROUND(SUM(H23:H24),5)</f>
        <v>3640</v>
      </c>
      <c r="I22" s="115"/>
      <c r="J22" s="110">
        <f>J21</f>
        <v>0</v>
      </c>
    </row>
    <row r="23" spans="1:10" s="55" customFormat="1" ht="17.100000000000001" hidden="1" customHeight="1">
      <c r="A23" s="295">
        <f t="shared" si="0"/>
        <v>0</v>
      </c>
      <c r="B23" s="51"/>
      <c r="C23" s="51" t="s">
        <v>421</v>
      </c>
      <c r="D23" s="52" t="s">
        <v>422</v>
      </c>
      <c r="E23" s="112">
        <f>0.35</f>
        <v>0.35</v>
      </c>
      <c r="F23" s="53">
        <f>VLKS!Q51</f>
        <v>8000</v>
      </c>
      <c r="G23" s="117">
        <f>hsvl</f>
        <v>1</v>
      </c>
      <c r="H23" s="54">
        <f>ROUND(E23*F23*G23,5)</f>
        <v>2800</v>
      </c>
      <c r="I23" s="114"/>
      <c r="J23" s="110">
        <f>J21</f>
        <v>0</v>
      </c>
    </row>
    <row r="24" spans="1:10" s="55" customFormat="1" ht="17.100000000000001" hidden="1" customHeight="1">
      <c r="A24" s="295">
        <f t="shared" si="0"/>
        <v>0</v>
      </c>
      <c r="B24" s="51"/>
      <c r="C24" s="51" t="s">
        <v>127</v>
      </c>
      <c r="D24" s="52" t="s">
        <v>126</v>
      </c>
      <c r="E24" s="112">
        <f>30</f>
        <v>30</v>
      </c>
      <c r="F24" s="53"/>
      <c r="G24" s="117"/>
      <c r="H24" s="54">
        <f>ROUND(SUM(H23:H23)*E24/100,5)</f>
        <v>840</v>
      </c>
      <c r="I24" s="114"/>
      <c r="J24" s="110">
        <f>J21</f>
        <v>0</v>
      </c>
    </row>
    <row r="25" spans="1:10" s="55" customFormat="1" ht="17.100000000000001" hidden="1" customHeight="1">
      <c r="A25" s="295">
        <f t="shared" si="0"/>
        <v>0</v>
      </c>
      <c r="B25" s="51"/>
      <c r="C25" s="51" t="s">
        <v>125</v>
      </c>
      <c r="D25" s="52" t="s">
        <v>0</v>
      </c>
      <c r="E25" s="112"/>
      <c r="F25" s="53"/>
      <c r="G25" s="117"/>
      <c r="H25" s="56" t="e">
        <f>ROUND(SUM(H26:H27),5)</f>
        <v>#REF!</v>
      </c>
      <c r="I25" s="115"/>
      <c r="J25" s="110">
        <f>J21</f>
        <v>0</v>
      </c>
    </row>
    <row r="26" spans="1:10" s="55" customFormat="1" ht="17.100000000000001" hidden="1" customHeight="1">
      <c r="A26" s="295">
        <f t="shared" si="0"/>
        <v>0</v>
      </c>
      <c r="B26" s="51"/>
      <c r="C26" s="51" t="s">
        <v>423</v>
      </c>
      <c r="D26" s="52" t="s">
        <v>3</v>
      </c>
      <c r="E26" s="112">
        <f>0.92</f>
        <v>0.92</v>
      </c>
      <c r="F26" s="53" t="e">
        <f>'NC,M KS'!P4</f>
        <v>#REF!</v>
      </c>
      <c r="G26" s="117">
        <f>hsnc</f>
        <v>1</v>
      </c>
      <c r="H26" s="54" t="e">
        <f>ROUND(E26*F26*G26,5)</f>
        <v>#REF!</v>
      </c>
      <c r="I26" s="114"/>
      <c r="J26" s="110">
        <f>J21</f>
        <v>0</v>
      </c>
    </row>
    <row r="27" spans="1:10" s="55" customFormat="1" ht="17.100000000000001" hidden="1" customHeight="1">
      <c r="A27" s="295">
        <f t="shared" si="0"/>
        <v>0</v>
      </c>
      <c r="B27" s="51"/>
      <c r="C27" s="51" t="s">
        <v>424</v>
      </c>
      <c r="D27" s="52" t="s">
        <v>3</v>
      </c>
      <c r="E27" s="112">
        <f>2.57</f>
        <v>2.57</v>
      </c>
      <c r="F27" s="53" t="e">
        <f>'NC,M KS'!P6</f>
        <v>#REF!</v>
      </c>
      <c r="G27" s="117">
        <f>hsnc</f>
        <v>1</v>
      </c>
      <c r="H27" s="54" t="e">
        <f>ROUND(E27*F27*G27,5)</f>
        <v>#REF!</v>
      </c>
      <c r="I27" s="114"/>
      <c r="J27" s="110">
        <f>J21</f>
        <v>0</v>
      </c>
    </row>
    <row r="28" spans="1:10" s="55" customFormat="1" ht="17.100000000000001" hidden="1" customHeight="1">
      <c r="A28" s="295">
        <f t="shared" si="0"/>
        <v>0</v>
      </c>
      <c r="B28" s="51"/>
      <c r="C28" s="51" t="s">
        <v>124</v>
      </c>
      <c r="D28" s="52" t="s">
        <v>0</v>
      </c>
      <c r="E28" s="112"/>
      <c r="F28" s="53"/>
      <c r="G28" s="117"/>
      <c r="H28" s="56">
        <f>ROUND(SUM(H29:H30),5)</f>
        <v>4518.7020000000002</v>
      </c>
      <c r="I28" s="115"/>
      <c r="J28" s="110">
        <f>J21</f>
        <v>0</v>
      </c>
    </row>
    <row r="29" spans="1:10" s="55" customFormat="1" ht="17.100000000000001" hidden="1" customHeight="1">
      <c r="A29" s="295">
        <f t="shared" si="0"/>
        <v>0</v>
      </c>
      <c r="B29" s="51"/>
      <c r="C29" s="51" t="s">
        <v>425</v>
      </c>
      <c r="D29" s="52" t="s">
        <v>4</v>
      </c>
      <c r="E29" s="112">
        <f>0.3</f>
        <v>0.3</v>
      </c>
      <c r="F29" s="53">
        <f>'NC,M KS'!P27</f>
        <v>14767</v>
      </c>
      <c r="G29" s="117">
        <f>hsm</f>
        <v>1</v>
      </c>
      <c r="H29" s="54">
        <f>ROUND(E29*F29*G29,5)</f>
        <v>4430.1000000000004</v>
      </c>
      <c r="I29" s="114"/>
      <c r="J29" s="110">
        <f>J21</f>
        <v>0</v>
      </c>
    </row>
    <row r="30" spans="1:10" s="55" customFormat="1" ht="17.100000000000001" hidden="1" customHeight="1">
      <c r="A30" s="295">
        <f t="shared" si="0"/>
        <v>0</v>
      </c>
      <c r="B30" s="51"/>
      <c r="C30" s="51" t="s">
        <v>130</v>
      </c>
      <c r="D30" s="52" t="s">
        <v>126</v>
      </c>
      <c r="E30" s="112">
        <f>2</f>
        <v>2</v>
      </c>
      <c r="F30" s="53"/>
      <c r="G30" s="117"/>
      <c r="H30" s="54">
        <f>ROUND(SUM(H29:H29)*E30/100,5)</f>
        <v>88.602000000000004</v>
      </c>
      <c r="I30" s="114"/>
      <c r="J30" s="110">
        <f>J21</f>
        <v>0</v>
      </c>
    </row>
    <row r="31" spans="1:10" s="55" customFormat="1" ht="17.100000000000001" hidden="1" customHeight="1">
      <c r="A31" s="295">
        <f t="shared" si="0"/>
        <v>0</v>
      </c>
      <c r="B31" s="51"/>
      <c r="C31" s="170" t="s">
        <v>556</v>
      </c>
      <c r="D31" s="171" t="s">
        <v>136</v>
      </c>
      <c r="E31" s="172" t="s">
        <v>205</v>
      </c>
      <c r="F31" s="53"/>
      <c r="G31" s="117"/>
      <c r="H31" s="173" t="e">
        <f>ROUND(H22+H25+H28,5)</f>
        <v>#REF!</v>
      </c>
      <c r="I31" s="114"/>
      <c r="J31" s="110">
        <f>J21</f>
        <v>0</v>
      </c>
    </row>
    <row r="32" spans="1:10" s="55" customFormat="1" ht="17.100000000000001" hidden="1" customHeight="1">
      <c r="A32" s="295">
        <f t="shared" si="0"/>
        <v>0</v>
      </c>
      <c r="B32" s="51"/>
      <c r="C32" s="170" t="s">
        <v>557</v>
      </c>
      <c r="D32" s="171" t="s">
        <v>204</v>
      </c>
      <c r="E32" s="172" t="s">
        <v>558</v>
      </c>
      <c r="F32" s="53"/>
      <c r="G32" s="117"/>
      <c r="H32" s="173" t="e">
        <f>SUM(H33:H34)</f>
        <v>#REF!</v>
      </c>
      <c r="I32" s="114"/>
      <c r="J32" s="110">
        <f>J21</f>
        <v>0</v>
      </c>
    </row>
    <row r="33" spans="1:10" s="55" customFormat="1" ht="17.100000000000001" hidden="1" customHeight="1">
      <c r="A33" s="295">
        <f t="shared" si="0"/>
        <v>0</v>
      </c>
      <c r="B33" s="51"/>
      <c r="C33" s="51" t="s">
        <v>426</v>
      </c>
      <c r="D33" s="52" t="s">
        <v>559</v>
      </c>
      <c r="E33" s="116">
        <f>cpc</f>
        <v>0.7</v>
      </c>
      <c r="F33" s="174"/>
      <c r="G33" s="175"/>
      <c r="H33" s="54" t="e">
        <f>E33*H25</f>
        <v>#REF!</v>
      </c>
      <c r="I33" s="114"/>
      <c r="J33" s="110">
        <f>J21</f>
        <v>0</v>
      </c>
    </row>
    <row r="34" spans="1:10" s="55" customFormat="1" ht="30" hidden="1">
      <c r="A34" s="295">
        <f t="shared" si="0"/>
        <v>0</v>
      </c>
      <c r="B34" s="51"/>
      <c r="C34" s="78" t="s">
        <v>560</v>
      </c>
      <c r="D34" s="79" t="s">
        <v>561</v>
      </c>
      <c r="E34" s="176">
        <f>hmc</f>
        <v>0.05</v>
      </c>
      <c r="F34" s="53"/>
      <c r="G34" s="113"/>
      <c r="H34" s="54" t="e">
        <f>E34*H31</f>
        <v>#REF!</v>
      </c>
      <c r="I34" s="114"/>
      <c r="J34" s="110">
        <f>J21</f>
        <v>0</v>
      </c>
    </row>
    <row r="35" spans="1:10" s="55" customFormat="1" ht="17.100000000000001" hidden="1" customHeight="1">
      <c r="A35" s="295">
        <f t="shared" si="0"/>
        <v>0</v>
      </c>
      <c r="B35" s="51"/>
      <c r="C35" s="170" t="s">
        <v>562</v>
      </c>
      <c r="D35" s="171" t="s">
        <v>563</v>
      </c>
      <c r="E35" s="179">
        <f>tn</f>
        <v>0.06</v>
      </c>
      <c r="F35" s="177"/>
      <c r="G35" s="178"/>
      <c r="H35" s="181" t="e">
        <f>SUM(H31:H32)*E35</f>
        <v>#REF!</v>
      </c>
      <c r="I35" s="114"/>
      <c r="J35" s="110">
        <f>J21</f>
        <v>0</v>
      </c>
    </row>
    <row r="36" spans="1:10" s="55" customFormat="1" ht="17.100000000000001" hidden="1" customHeight="1">
      <c r="A36" s="295">
        <f t="shared" si="0"/>
        <v>0</v>
      </c>
      <c r="B36" s="51"/>
      <c r="C36" s="92" t="s">
        <v>1879</v>
      </c>
      <c r="D36" s="171" t="s">
        <v>227</v>
      </c>
      <c r="E36" s="180" t="s">
        <v>564</v>
      </c>
      <c r="F36" s="174"/>
      <c r="G36" s="175"/>
      <c r="H36" s="173" t="e">
        <f>SUM(H37:H38)</f>
        <v>#REF!</v>
      </c>
      <c r="I36" s="114"/>
      <c r="J36" s="110">
        <f>J21</f>
        <v>0</v>
      </c>
    </row>
    <row r="37" spans="1:10" s="55" customFormat="1" ht="17.100000000000001" hidden="1" customHeight="1">
      <c r="A37" s="295">
        <f t="shared" si="0"/>
        <v>0</v>
      </c>
      <c r="B37" s="51"/>
      <c r="C37" s="51" t="s">
        <v>427</v>
      </c>
      <c r="D37" s="52" t="s">
        <v>428</v>
      </c>
      <c r="E37" s="1093">
        <f>paks</f>
        <v>0</v>
      </c>
      <c r="F37" s="174"/>
      <c r="G37" s="175"/>
      <c r="H37" s="54" t="e">
        <f>(H31+H32+H35)*E37</f>
        <v>#REF!</v>
      </c>
      <c r="I37" s="114"/>
      <c r="J37" s="110">
        <f>J21</f>
        <v>0</v>
      </c>
    </row>
    <row r="38" spans="1:10" s="55" customFormat="1" ht="17.100000000000001" hidden="1" customHeight="1">
      <c r="A38" s="295">
        <f t="shared" si="0"/>
        <v>0</v>
      </c>
      <c r="B38" s="51"/>
      <c r="C38" s="51" t="s">
        <v>429</v>
      </c>
      <c r="D38" s="52" t="s">
        <v>430</v>
      </c>
      <c r="E38" s="1093">
        <f>bcks</f>
        <v>0.03</v>
      </c>
      <c r="F38" s="53"/>
      <c r="G38" s="113"/>
      <c r="H38" s="54" t="e">
        <f>(H31+H32+H35)*E38</f>
        <v>#REF!</v>
      </c>
      <c r="I38" s="114"/>
      <c r="J38" s="110">
        <f>J21</f>
        <v>0</v>
      </c>
    </row>
    <row r="39" spans="1:10" s="55" customFormat="1" ht="17.100000000000001" hidden="1" customHeight="1">
      <c r="A39" s="295">
        <f t="shared" si="0"/>
        <v>0</v>
      </c>
      <c r="B39" s="51"/>
      <c r="C39" s="170" t="s">
        <v>565</v>
      </c>
      <c r="D39" s="171" t="s">
        <v>218</v>
      </c>
      <c r="E39" s="172" t="s">
        <v>566</v>
      </c>
      <c r="F39" s="53"/>
      <c r="G39" s="113"/>
      <c r="H39" s="173" t="e">
        <f>H31+H32+H35+H36</f>
        <v>#REF!</v>
      </c>
      <c r="I39" s="114"/>
      <c r="J39" s="110">
        <f>J21</f>
        <v>0</v>
      </c>
    </row>
    <row r="40" spans="1:10" s="55" customFormat="1" ht="17.100000000000001" hidden="1" customHeight="1">
      <c r="A40" s="295">
        <f t="shared" si="0"/>
        <v>0</v>
      </c>
      <c r="B40" s="51"/>
      <c r="C40" s="51" t="s">
        <v>567</v>
      </c>
      <c r="D40" s="52" t="s">
        <v>222</v>
      </c>
      <c r="E40" s="112" t="s">
        <v>1917</v>
      </c>
      <c r="F40" s="174"/>
      <c r="G40" s="175"/>
      <c r="H40" s="54" t="e">
        <f>ROUND(H39*10/100,5)</f>
        <v>#REF!</v>
      </c>
      <c r="I40" s="114"/>
      <c r="J40" s="110">
        <f>J21</f>
        <v>0</v>
      </c>
    </row>
    <row r="41" spans="1:10" s="55" customFormat="1" ht="17.100000000000001" hidden="1" customHeight="1">
      <c r="A41" s="295">
        <f t="shared" si="0"/>
        <v>0</v>
      </c>
      <c r="B41" s="51"/>
      <c r="C41" s="170" t="s">
        <v>568</v>
      </c>
      <c r="D41" s="171" t="s">
        <v>225</v>
      </c>
      <c r="E41" s="172" t="s">
        <v>192</v>
      </c>
      <c r="F41" s="53"/>
      <c r="G41" s="117"/>
      <c r="H41" s="56" t="e">
        <f>ROUND(H39+H40,5)</f>
        <v>#REF!</v>
      </c>
      <c r="I41" s="115"/>
      <c r="J41" s="110">
        <f>J21</f>
        <v>0</v>
      </c>
    </row>
    <row r="42" spans="1:10" s="263" customFormat="1" ht="17.100000000000001" hidden="1" customHeight="1">
      <c r="A42" s="264">
        <f t="shared" si="0"/>
        <v>0</v>
      </c>
      <c r="B42" s="265" t="s">
        <v>341</v>
      </c>
      <c r="C42" s="265" t="s">
        <v>342</v>
      </c>
      <c r="D42" s="266" t="s">
        <v>314</v>
      </c>
      <c r="E42" s="270"/>
      <c r="F42" s="267"/>
      <c r="G42" s="271"/>
      <c r="H42" s="268" t="e">
        <f>H62</f>
        <v>#REF!</v>
      </c>
      <c r="I42" s="272"/>
      <c r="J42" s="273">
        <f>IF(SUMIF(Khaosat!$B$6:$B$47,'PT giaKS'!B42,Khaosat!$I$6:$I$47)&lt;&gt;0,$J$6,0)</f>
        <v>0</v>
      </c>
    </row>
    <row r="43" spans="1:10" s="55" customFormat="1" ht="17.100000000000001" hidden="1" customHeight="1">
      <c r="A43" s="50">
        <f t="shared" si="0"/>
        <v>0</v>
      </c>
      <c r="B43" s="51"/>
      <c r="C43" s="51" t="s">
        <v>128</v>
      </c>
      <c r="D43" s="52" t="s">
        <v>0</v>
      </c>
      <c r="E43" s="112"/>
      <c r="F43" s="53"/>
      <c r="G43" s="117"/>
      <c r="H43" s="56">
        <f>ROUND(SUM(H44:H45),5)</f>
        <v>3640</v>
      </c>
      <c r="I43" s="115"/>
      <c r="J43" s="110">
        <f>J42</f>
        <v>0</v>
      </c>
    </row>
    <row r="44" spans="1:10" s="55" customFormat="1" ht="17.100000000000001" hidden="1" customHeight="1">
      <c r="A44" s="50">
        <f t="shared" si="0"/>
        <v>0</v>
      </c>
      <c r="B44" s="51"/>
      <c r="C44" s="51" t="s">
        <v>421</v>
      </c>
      <c r="D44" s="52" t="s">
        <v>422</v>
      </c>
      <c r="E44" s="112">
        <f>0.35</f>
        <v>0.35</v>
      </c>
      <c r="F44" s="53">
        <f>VLKS!Q51</f>
        <v>8000</v>
      </c>
      <c r="G44" s="117">
        <f>hsvl</f>
        <v>1</v>
      </c>
      <c r="H44" s="54">
        <f>ROUND(E44*F44*G44,5)</f>
        <v>2800</v>
      </c>
      <c r="I44" s="114"/>
      <c r="J44" s="110">
        <f>J42</f>
        <v>0</v>
      </c>
    </row>
    <row r="45" spans="1:10" s="55" customFormat="1" ht="17.100000000000001" hidden="1" customHeight="1">
      <c r="A45" s="50">
        <f t="shared" si="0"/>
        <v>0</v>
      </c>
      <c r="B45" s="51"/>
      <c r="C45" s="51" t="s">
        <v>127</v>
      </c>
      <c r="D45" s="52" t="s">
        <v>126</v>
      </c>
      <c r="E45" s="112">
        <f>30</f>
        <v>30</v>
      </c>
      <c r="F45" s="53"/>
      <c r="G45" s="117"/>
      <c r="H45" s="54">
        <f>ROUND(SUM(H44:H44)*E45/100,5)</f>
        <v>840</v>
      </c>
      <c r="I45" s="114"/>
      <c r="J45" s="110">
        <f>J42</f>
        <v>0</v>
      </c>
    </row>
    <row r="46" spans="1:10" s="55" customFormat="1" ht="17.100000000000001" hidden="1" customHeight="1">
      <c r="A46" s="50">
        <f t="shared" si="0"/>
        <v>0</v>
      </c>
      <c r="B46" s="51"/>
      <c r="C46" s="51" t="s">
        <v>125</v>
      </c>
      <c r="D46" s="52" t="s">
        <v>0</v>
      </c>
      <c r="E46" s="112"/>
      <c r="F46" s="53"/>
      <c r="G46" s="117"/>
      <c r="H46" s="56" t="e">
        <f>ROUND(SUM(H47:H48),5)</f>
        <v>#REF!</v>
      </c>
      <c r="I46" s="115"/>
      <c r="J46" s="110">
        <f>J42</f>
        <v>0</v>
      </c>
    </row>
    <row r="47" spans="1:10" s="55" customFormat="1" ht="17.100000000000001" hidden="1" customHeight="1">
      <c r="A47" s="50">
        <f t="shared" si="0"/>
        <v>0</v>
      </c>
      <c r="B47" s="51"/>
      <c r="C47" s="51" t="s">
        <v>423</v>
      </c>
      <c r="D47" s="52" t="s">
        <v>3</v>
      </c>
      <c r="E47" s="112">
        <f>1.27</f>
        <v>1.27</v>
      </c>
      <c r="F47" s="53" t="e">
        <f>'NC,M KS'!P4</f>
        <v>#REF!</v>
      </c>
      <c r="G47" s="117">
        <f>hsnc</f>
        <v>1</v>
      </c>
      <c r="H47" s="54" t="e">
        <f>ROUND(E47*F47*G47,5)</f>
        <v>#REF!</v>
      </c>
      <c r="I47" s="114"/>
      <c r="J47" s="110">
        <f>J42</f>
        <v>0</v>
      </c>
    </row>
    <row r="48" spans="1:10" s="55" customFormat="1" ht="17.100000000000001" hidden="1" customHeight="1">
      <c r="A48" s="50">
        <f t="shared" si="0"/>
        <v>0</v>
      </c>
      <c r="B48" s="51"/>
      <c r="C48" s="51" t="s">
        <v>424</v>
      </c>
      <c r="D48" s="52" t="s">
        <v>3</v>
      </c>
      <c r="E48" s="112">
        <f>3.58</f>
        <v>3.58</v>
      </c>
      <c r="F48" s="53" t="e">
        <f>'NC,M KS'!P6</f>
        <v>#REF!</v>
      </c>
      <c r="G48" s="117">
        <f>hsnc</f>
        <v>1</v>
      </c>
      <c r="H48" s="54" t="e">
        <f>ROUND(E48*F48*G48,5)</f>
        <v>#REF!</v>
      </c>
      <c r="I48" s="114"/>
      <c r="J48" s="110">
        <f>J42</f>
        <v>0</v>
      </c>
    </row>
    <row r="49" spans="1:10" s="55" customFormat="1" ht="17.100000000000001" hidden="1" customHeight="1">
      <c r="A49" s="50">
        <f t="shared" si="0"/>
        <v>0</v>
      </c>
      <c r="B49" s="51"/>
      <c r="C49" s="51" t="s">
        <v>124</v>
      </c>
      <c r="D49" s="52" t="s">
        <v>0</v>
      </c>
      <c r="E49" s="112"/>
      <c r="F49" s="53"/>
      <c r="G49" s="117"/>
      <c r="H49" s="56">
        <f>ROUND(SUM(H50:H51),5)</f>
        <v>6778.0529999999999</v>
      </c>
      <c r="I49" s="115"/>
      <c r="J49" s="110">
        <f>J42</f>
        <v>0</v>
      </c>
    </row>
    <row r="50" spans="1:10" s="55" customFormat="1" ht="17.100000000000001" hidden="1" customHeight="1">
      <c r="A50" s="50">
        <f t="shared" si="0"/>
        <v>0</v>
      </c>
      <c r="B50" s="51"/>
      <c r="C50" s="51" t="s">
        <v>425</v>
      </c>
      <c r="D50" s="52" t="s">
        <v>4</v>
      </c>
      <c r="E50" s="112">
        <f>0.45</f>
        <v>0.45</v>
      </c>
      <c r="F50" s="53">
        <f>'NC,M KS'!P27</f>
        <v>14767</v>
      </c>
      <c r="G50" s="117">
        <f>hsm</f>
        <v>1</v>
      </c>
      <c r="H50" s="54">
        <f>ROUND(E50*F50*G50,5)</f>
        <v>6645.15</v>
      </c>
      <c r="I50" s="114"/>
      <c r="J50" s="110">
        <f>J42</f>
        <v>0</v>
      </c>
    </row>
    <row r="51" spans="1:10" s="55" customFormat="1" ht="17.100000000000001" hidden="1" customHeight="1">
      <c r="A51" s="50">
        <f t="shared" si="0"/>
        <v>0</v>
      </c>
      <c r="B51" s="51"/>
      <c r="C51" s="51" t="s">
        <v>130</v>
      </c>
      <c r="D51" s="52" t="s">
        <v>126</v>
      </c>
      <c r="E51" s="112">
        <f>2</f>
        <v>2</v>
      </c>
      <c r="F51" s="53"/>
      <c r="G51" s="117"/>
      <c r="H51" s="54">
        <f>ROUND(SUM(H50:H50)*E51/100,5)</f>
        <v>132.90299999999999</v>
      </c>
      <c r="I51" s="114"/>
      <c r="J51" s="110">
        <f>J42</f>
        <v>0</v>
      </c>
    </row>
    <row r="52" spans="1:10" s="55" customFormat="1" ht="17.100000000000001" hidden="1" customHeight="1">
      <c r="A52" s="50">
        <f t="shared" si="0"/>
        <v>0</v>
      </c>
      <c r="B52" s="51"/>
      <c r="C52" s="170" t="s">
        <v>556</v>
      </c>
      <c r="D52" s="171" t="s">
        <v>136</v>
      </c>
      <c r="E52" s="172" t="s">
        <v>205</v>
      </c>
      <c r="F52" s="53"/>
      <c r="G52" s="117"/>
      <c r="H52" s="173" t="e">
        <f>ROUND(H43+H46+H49,5)</f>
        <v>#REF!</v>
      </c>
      <c r="I52" s="114"/>
      <c r="J52" s="110">
        <f>J42</f>
        <v>0</v>
      </c>
    </row>
    <row r="53" spans="1:10" s="55" customFormat="1" ht="17.100000000000001" hidden="1" customHeight="1">
      <c r="A53" s="50">
        <f t="shared" si="0"/>
        <v>0</v>
      </c>
      <c r="B53" s="51"/>
      <c r="C53" s="170" t="s">
        <v>557</v>
      </c>
      <c r="D53" s="171" t="s">
        <v>204</v>
      </c>
      <c r="E53" s="172" t="s">
        <v>558</v>
      </c>
      <c r="F53" s="53"/>
      <c r="G53" s="117"/>
      <c r="H53" s="173" t="e">
        <f>SUM(H54:H55)</f>
        <v>#REF!</v>
      </c>
      <c r="I53" s="114"/>
      <c r="J53" s="110">
        <f>J42</f>
        <v>0</v>
      </c>
    </row>
    <row r="54" spans="1:10" s="55" customFormat="1" ht="17.100000000000001" hidden="1" customHeight="1">
      <c r="A54" s="50">
        <f t="shared" si="0"/>
        <v>0</v>
      </c>
      <c r="B54" s="51"/>
      <c r="C54" s="51" t="s">
        <v>426</v>
      </c>
      <c r="D54" s="52" t="s">
        <v>559</v>
      </c>
      <c r="E54" s="116">
        <f>cpc</f>
        <v>0.7</v>
      </c>
      <c r="F54" s="174"/>
      <c r="G54" s="175"/>
      <c r="H54" s="54" t="e">
        <f>E54*H46</f>
        <v>#REF!</v>
      </c>
      <c r="I54" s="114"/>
      <c r="J54" s="110">
        <f>J42</f>
        <v>0</v>
      </c>
    </row>
    <row r="55" spans="1:10" s="55" customFormat="1" ht="17.100000000000001" hidden="1" customHeight="1">
      <c r="A55" s="50">
        <f t="shared" si="0"/>
        <v>0</v>
      </c>
      <c r="B55" s="51"/>
      <c r="C55" s="78" t="s">
        <v>560</v>
      </c>
      <c r="D55" s="79" t="s">
        <v>561</v>
      </c>
      <c r="E55" s="176">
        <f>hmc</f>
        <v>0.05</v>
      </c>
      <c r="F55" s="53"/>
      <c r="G55" s="113"/>
      <c r="H55" s="54" t="e">
        <f>E55*H52</f>
        <v>#REF!</v>
      </c>
      <c r="I55" s="114"/>
      <c r="J55" s="110">
        <f>J42</f>
        <v>0</v>
      </c>
    </row>
    <row r="56" spans="1:10" s="55" customFormat="1" ht="17.100000000000001" hidden="1" customHeight="1">
      <c r="A56" s="50">
        <f t="shared" si="0"/>
        <v>0</v>
      </c>
      <c r="B56" s="51"/>
      <c r="C56" s="170" t="s">
        <v>562</v>
      </c>
      <c r="D56" s="171" t="s">
        <v>563</v>
      </c>
      <c r="E56" s="179">
        <f>tn</f>
        <v>0.06</v>
      </c>
      <c r="F56" s="177"/>
      <c r="G56" s="178"/>
      <c r="H56" s="181" t="e">
        <f>SUM(H52:H53)*E56</f>
        <v>#REF!</v>
      </c>
      <c r="I56" s="114"/>
      <c r="J56" s="110">
        <f>J42</f>
        <v>0</v>
      </c>
    </row>
    <row r="57" spans="1:10" s="55" customFormat="1" ht="17.100000000000001" hidden="1" customHeight="1">
      <c r="A57" s="50">
        <f t="shared" si="0"/>
        <v>0</v>
      </c>
      <c r="B57" s="51"/>
      <c r="C57" s="92" t="s">
        <v>1879</v>
      </c>
      <c r="D57" s="171" t="s">
        <v>227</v>
      </c>
      <c r="E57" s="180" t="s">
        <v>564</v>
      </c>
      <c r="F57" s="174"/>
      <c r="G57" s="175"/>
      <c r="H57" s="173" t="e">
        <f>SUM(H58:H59)</f>
        <v>#REF!</v>
      </c>
      <c r="I57" s="114"/>
      <c r="J57" s="110">
        <f>J42</f>
        <v>0</v>
      </c>
    </row>
    <row r="58" spans="1:10" s="55" customFormat="1" ht="17.100000000000001" hidden="1" customHeight="1">
      <c r="A58" s="50">
        <f t="shared" si="0"/>
        <v>0</v>
      </c>
      <c r="B58" s="51"/>
      <c r="C58" s="51" t="s">
        <v>427</v>
      </c>
      <c r="D58" s="52" t="s">
        <v>428</v>
      </c>
      <c r="E58" s="1093">
        <f>paks</f>
        <v>0</v>
      </c>
      <c r="F58" s="174"/>
      <c r="G58" s="175"/>
      <c r="H58" s="54" t="e">
        <f>(H52+H53+H56)*E58</f>
        <v>#REF!</v>
      </c>
      <c r="I58" s="114"/>
      <c r="J58" s="110">
        <f>J42</f>
        <v>0</v>
      </c>
    </row>
    <row r="59" spans="1:10" s="55" customFormat="1" ht="17.100000000000001" hidden="1" customHeight="1">
      <c r="A59" s="50">
        <f t="shared" si="0"/>
        <v>0</v>
      </c>
      <c r="B59" s="51"/>
      <c r="C59" s="51" t="s">
        <v>429</v>
      </c>
      <c r="D59" s="52" t="s">
        <v>430</v>
      </c>
      <c r="E59" s="1093">
        <f>bcks</f>
        <v>0.03</v>
      </c>
      <c r="F59" s="53"/>
      <c r="G59" s="113"/>
      <c r="H59" s="54" t="e">
        <f>(H52+H53+H56)*E59</f>
        <v>#REF!</v>
      </c>
      <c r="I59" s="114"/>
      <c r="J59" s="110">
        <f>J42</f>
        <v>0</v>
      </c>
    </row>
    <row r="60" spans="1:10" s="55" customFormat="1" ht="17.100000000000001" hidden="1" customHeight="1">
      <c r="A60" s="50">
        <f t="shared" si="0"/>
        <v>0</v>
      </c>
      <c r="B60" s="51"/>
      <c r="C60" s="170" t="s">
        <v>565</v>
      </c>
      <c r="D60" s="171" t="s">
        <v>218</v>
      </c>
      <c r="E60" s="172" t="s">
        <v>566</v>
      </c>
      <c r="F60" s="53"/>
      <c r="G60" s="113"/>
      <c r="H60" s="173" t="e">
        <f>H52+H53+H56+H57</f>
        <v>#REF!</v>
      </c>
      <c r="I60" s="114"/>
      <c r="J60" s="110">
        <f>J42</f>
        <v>0</v>
      </c>
    </row>
    <row r="61" spans="1:10" s="55" customFormat="1" ht="17.100000000000001" hidden="1" customHeight="1">
      <c r="A61" s="50">
        <f t="shared" si="0"/>
        <v>0</v>
      </c>
      <c r="B61" s="51"/>
      <c r="C61" s="51" t="s">
        <v>567</v>
      </c>
      <c r="D61" s="52" t="s">
        <v>222</v>
      </c>
      <c r="E61" s="112" t="s">
        <v>1917</v>
      </c>
      <c r="F61" s="174"/>
      <c r="G61" s="175"/>
      <c r="H61" s="54" t="e">
        <f>ROUND(H60*10/100,5)</f>
        <v>#REF!</v>
      </c>
      <c r="I61" s="114"/>
      <c r="J61" s="110">
        <f>J42</f>
        <v>0</v>
      </c>
    </row>
    <row r="62" spans="1:10" s="55" customFormat="1" ht="17.100000000000001" hidden="1" customHeight="1">
      <c r="A62" s="50">
        <f t="shared" si="0"/>
        <v>0</v>
      </c>
      <c r="B62" s="51"/>
      <c r="C62" s="170" t="s">
        <v>568</v>
      </c>
      <c r="D62" s="171" t="s">
        <v>225</v>
      </c>
      <c r="E62" s="172" t="s">
        <v>192</v>
      </c>
      <c r="F62" s="53"/>
      <c r="G62" s="117"/>
      <c r="H62" s="56" t="e">
        <f>ROUND(H60+H61,5)</f>
        <v>#REF!</v>
      </c>
      <c r="I62" s="115"/>
      <c r="J62" s="110">
        <f>J42</f>
        <v>0</v>
      </c>
    </row>
    <row r="63" spans="1:10" s="263" customFormat="1" ht="17.100000000000001" hidden="1" customHeight="1">
      <c r="A63" s="264">
        <f t="shared" si="0"/>
        <v>0</v>
      </c>
      <c r="B63" s="265" t="s">
        <v>312</v>
      </c>
      <c r="C63" s="265" t="s">
        <v>313</v>
      </c>
      <c r="D63" s="266" t="s">
        <v>314</v>
      </c>
      <c r="E63" s="270"/>
      <c r="F63" s="267"/>
      <c r="G63" s="271"/>
      <c r="H63" s="268" t="e">
        <f>H83</f>
        <v>#REF!</v>
      </c>
      <c r="I63" s="272"/>
      <c r="J63" s="273">
        <f>IF(SUMIF(Khaosat!$B$6:$B$47,'PT giaKS'!B63,Khaosat!$I$6:$I$47)&lt;&gt;0,$J$6,0)</f>
        <v>0</v>
      </c>
    </row>
    <row r="64" spans="1:10" s="55" customFormat="1" ht="17.100000000000001" hidden="1" customHeight="1">
      <c r="A64" s="50">
        <f t="shared" si="0"/>
        <v>0</v>
      </c>
      <c r="B64" s="51"/>
      <c r="C64" s="51" t="s">
        <v>128</v>
      </c>
      <c r="D64" s="52" t="s">
        <v>0</v>
      </c>
      <c r="E64" s="112"/>
      <c r="F64" s="53"/>
      <c r="G64" s="117"/>
      <c r="H64" s="56">
        <f>ROUND(SUM(H65:H66),5)</f>
        <v>3640</v>
      </c>
      <c r="I64" s="115"/>
      <c r="J64" s="110">
        <f>J63</f>
        <v>0</v>
      </c>
    </row>
    <row r="65" spans="1:10" s="55" customFormat="1" ht="17.100000000000001" hidden="1" customHeight="1">
      <c r="A65" s="50">
        <f t="shared" si="0"/>
        <v>0</v>
      </c>
      <c r="B65" s="51"/>
      <c r="C65" s="51" t="s">
        <v>421</v>
      </c>
      <c r="D65" s="52" t="s">
        <v>422</v>
      </c>
      <c r="E65" s="112">
        <f>0.35</f>
        <v>0.35</v>
      </c>
      <c r="F65" s="53">
        <f>VLKS!Q51</f>
        <v>8000</v>
      </c>
      <c r="G65" s="117">
        <f>hsvl</f>
        <v>1</v>
      </c>
      <c r="H65" s="54">
        <f>ROUND(E65*F65*G65,5)</f>
        <v>2800</v>
      </c>
      <c r="I65" s="114"/>
      <c r="J65" s="110">
        <f>J63</f>
        <v>0</v>
      </c>
    </row>
    <row r="66" spans="1:10" s="55" customFormat="1" ht="17.100000000000001" hidden="1" customHeight="1">
      <c r="A66" s="50">
        <f t="shared" si="0"/>
        <v>0</v>
      </c>
      <c r="B66" s="51"/>
      <c r="C66" s="51" t="s">
        <v>127</v>
      </c>
      <c r="D66" s="52" t="s">
        <v>126</v>
      </c>
      <c r="E66" s="112">
        <f>30</f>
        <v>30</v>
      </c>
      <c r="F66" s="53"/>
      <c r="G66" s="117"/>
      <c r="H66" s="54">
        <f>ROUND(SUM(H65:H65)*E66/100,5)</f>
        <v>840</v>
      </c>
      <c r="I66" s="114"/>
      <c r="J66" s="110">
        <f>J63</f>
        <v>0</v>
      </c>
    </row>
    <row r="67" spans="1:10" s="55" customFormat="1" ht="17.100000000000001" hidden="1" customHeight="1">
      <c r="A67" s="50">
        <f t="shared" si="0"/>
        <v>0</v>
      </c>
      <c r="B67" s="51"/>
      <c r="C67" s="51" t="s">
        <v>125</v>
      </c>
      <c r="D67" s="52" t="s">
        <v>0</v>
      </c>
      <c r="E67" s="112"/>
      <c r="F67" s="53"/>
      <c r="G67" s="117"/>
      <c r="H67" s="56" t="e">
        <f>ROUND(SUM(H68:H69),5)</f>
        <v>#REF!</v>
      </c>
      <c r="I67" s="115"/>
      <c r="J67" s="110">
        <f>J63</f>
        <v>0</v>
      </c>
    </row>
    <row r="68" spans="1:10" s="55" customFormat="1" ht="17.100000000000001" hidden="1" customHeight="1">
      <c r="A68" s="50">
        <f t="shared" si="0"/>
        <v>0</v>
      </c>
      <c r="B68" s="51"/>
      <c r="C68" s="51" t="s">
        <v>423</v>
      </c>
      <c r="D68" s="52" t="s">
        <v>3</v>
      </c>
      <c r="E68" s="112">
        <f>2.13</f>
        <v>2.13</v>
      </c>
      <c r="F68" s="53" t="e">
        <f>'NC,M KS'!P4</f>
        <v>#REF!</v>
      </c>
      <c r="G68" s="117">
        <f>hsnc</f>
        <v>1</v>
      </c>
      <c r="H68" s="54" t="e">
        <f>ROUND(E68*F68*G68,5)</f>
        <v>#REF!</v>
      </c>
      <c r="I68" s="114"/>
      <c r="J68" s="110">
        <f>J63</f>
        <v>0</v>
      </c>
    </row>
    <row r="69" spans="1:10" s="55" customFormat="1" ht="17.100000000000001" hidden="1" customHeight="1">
      <c r="A69" s="50">
        <f t="shared" si="0"/>
        <v>0</v>
      </c>
      <c r="B69" s="51"/>
      <c r="C69" s="51" t="s">
        <v>424</v>
      </c>
      <c r="D69" s="52" t="s">
        <v>3</v>
      </c>
      <c r="E69" s="112">
        <f>5.93</f>
        <v>5.93</v>
      </c>
      <c r="F69" s="53" t="e">
        <f>'NC,M KS'!P6</f>
        <v>#REF!</v>
      </c>
      <c r="G69" s="117">
        <f>hsnc</f>
        <v>1</v>
      </c>
      <c r="H69" s="54" t="e">
        <f>ROUND(E69*F69*G69,5)</f>
        <v>#REF!</v>
      </c>
      <c r="I69" s="114"/>
      <c r="J69" s="110">
        <f>J63</f>
        <v>0</v>
      </c>
    </row>
    <row r="70" spans="1:10" s="55" customFormat="1" ht="17.100000000000001" hidden="1" customHeight="1">
      <c r="A70" s="50">
        <f t="shared" si="0"/>
        <v>0</v>
      </c>
      <c r="B70" s="51"/>
      <c r="C70" s="51" t="s">
        <v>124</v>
      </c>
      <c r="D70" s="52" t="s">
        <v>0</v>
      </c>
      <c r="E70" s="112"/>
      <c r="F70" s="53"/>
      <c r="G70" s="117"/>
      <c r="H70" s="56">
        <f>ROUND(SUM(H71:H72),5)</f>
        <v>9037.4040000000005</v>
      </c>
      <c r="I70" s="115"/>
      <c r="J70" s="110">
        <f>J63</f>
        <v>0</v>
      </c>
    </row>
    <row r="71" spans="1:10" s="55" customFormat="1" ht="17.100000000000001" hidden="1" customHeight="1">
      <c r="A71" s="50">
        <f t="shared" si="0"/>
        <v>0</v>
      </c>
      <c r="B71" s="51"/>
      <c r="C71" s="51" t="s">
        <v>425</v>
      </c>
      <c r="D71" s="52" t="s">
        <v>4</v>
      </c>
      <c r="E71" s="112">
        <f>0.6</f>
        <v>0.6</v>
      </c>
      <c r="F71" s="53">
        <f>'NC,M KS'!P27</f>
        <v>14767</v>
      </c>
      <c r="G71" s="117">
        <f>hsm</f>
        <v>1</v>
      </c>
      <c r="H71" s="54">
        <f>ROUND(E71*F71*G71,5)</f>
        <v>8860.2000000000007</v>
      </c>
      <c r="I71" s="114"/>
      <c r="J71" s="110">
        <f>J63</f>
        <v>0</v>
      </c>
    </row>
    <row r="72" spans="1:10" s="55" customFormat="1" ht="17.100000000000001" hidden="1" customHeight="1">
      <c r="A72" s="50">
        <f t="shared" si="0"/>
        <v>0</v>
      </c>
      <c r="B72" s="51"/>
      <c r="C72" s="51" t="s">
        <v>130</v>
      </c>
      <c r="D72" s="52" t="s">
        <v>126</v>
      </c>
      <c r="E72" s="112">
        <f>2</f>
        <v>2</v>
      </c>
      <c r="F72" s="53"/>
      <c r="G72" s="117"/>
      <c r="H72" s="54">
        <f>ROUND(SUM(H71:H71)*E72/100,5)</f>
        <v>177.20400000000001</v>
      </c>
      <c r="I72" s="114"/>
      <c r="J72" s="110">
        <f>J63</f>
        <v>0</v>
      </c>
    </row>
    <row r="73" spans="1:10" s="55" customFormat="1" ht="17.100000000000001" hidden="1" customHeight="1">
      <c r="A73" s="50">
        <f t="shared" ref="A73:A136" si="1">IF(B73&lt;&gt;0,A72+J73,A72)</f>
        <v>0</v>
      </c>
      <c r="B73" s="51"/>
      <c r="C73" s="170" t="s">
        <v>556</v>
      </c>
      <c r="D73" s="171" t="s">
        <v>136</v>
      </c>
      <c r="E73" s="172" t="s">
        <v>205</v>
      </c>
      <c r="F73" s="53"/>
      <c r="G73" s="117"/>
      <c r="H73" s="173" t="e">
        <f>ROUND(H64+H67+H70,5)</f>
        <v>#REF!</v>
      </c>
      <c r="I73" s="114"/>
      <c r="J73" s="110">
        <f>J63</f>
        <v>0</v>
      </c>
    </row>
    <row r="74" spans="1:10" s="55" customFormat="1" ht="17.100000000000001" hidden="1" customHeight="1">
      <c r="A74" s="50">
        <f t="shared" si="1"/>
        <v>0</v>
      </c>
      <c r="B74" s="51"/>
      <c r="C74" s="170" t="s">
        <v>557</v>
      </c>
      <c r="D74" s="171" t="s">
        <v>204</v>
      </c>
      <c r="E74" s="172" t="s">
        <v>558</v>
      </c>
      <c r="F74" s="53"/>
      <c r="G74" s="117"/>
      <c r="H74" s="173" t="e">
        <f>SUM(H75:H76)</f>
        <v>#REF!</v>
      </c>
      <c r="I74" s="114"/>
      <c r="J74" s="110">
        <f>J63</f>
        <v>0</v>
      </c>
    </row>
    <row r="75" spans="1:10" s="55" customFormat="1" ht="17.100000000000001" hidden="1" customHeight="1">
      <c r="A75" s="50">
        <f t="shared" si="1"/>
        <v>0</v>
      </c>
      <c r="B75" s="51"/>
      <c r="C75" s="51" t="s">
        <v>426</v>
      </c>
      <c r="D75" s="52" t="s">
        <v>559</v>
      </c>
      <c r="E75" s="116">
        <f>cpc</f>
        <v>0.7</v>
      </c>
      <c r="F75" s="174"/>
      <c r="G75" s="175"/>
      <c r="H75" s="54" t="e">
        <f>E75*H67</f>
        <v>#REF!</v>
      </c>
      <c r="I75" s="114"/>
      <c r="J75" s="110">
        <f>J63</f>
        <v>0</v>
      </c>
    </row>
    <row r="76" spans="1:10" s="55" customFormat="1" ht="30" hidden="1">
      <c r="A76" s="50">
        <f t="shared" si="1"/>
        <v>0</v>
      </c>
      <c r="B76" s="51"/>
      <c r="C76" s="78" t="s">
        <v>560</v>
      </c>
      <c r="D76" s="79" t="s">
        <v>561</v>
      </c>
      <c r="E76" s="176">
        <f>hmc</f>
        <v>0.05</v>
      </c>
      <c r="F76" s="53"/>
      <c r="G76" s="113"/>
      <c r="H76" s="54" t="e">
        <f>E76*H73</f>
        <v>#REF!</v>
      </c>
      <c r="I76" s="114"/>
      <c r="J76" s="110">
        <f>J63</f>
        <v>0</v>
      </c>
    </row>
    <row r="77" spans="1:10" s="55" customFormat="1" ht="17.100000000000001" hidden="1" customHeight="1">
      <c r="A77" s="50">
        <f t="shared" si="1"/>
        <v>0</v>
      </c>
      <c r="B77" s="51"/>
      <c r="C77" s="170" t="s">
        <v>562</v>
      </c>
      <c r="D77" s="171" t="s">
        <v>563</v>
      </c>
      <c r="E77" s="179">
        <f>tn</f>
        <v>0.06</v>
      </c>
      <c r="F77" s="177"/>
      <c r="G77" s="178"/>
      <c r="H77" s="181" t="e">
        <f>SUM(H73:H74)*E77</f>
        <v>#REF!</v>
      </c>
      <c r="I77" s="114"/>
      <c r="J77" s="110">
        <f>J63</f>
        <v>0</v>
      </c>
    </row>
    <row r="78" spans="1:10" s="55" customFormat="1" ht="17.100000000000001" hidden="1" customHeight="1">
      <c r="A78" s="50">
        <f t="shared" si="1"/>
        <v>0</v>
      </c>
      <c r="B78" s="51"/>
      <c r="C78" s="92" t="s">
        <v>1879</v>
      </c>
      <c r="D78" s="171" t="s">
        <v>227</v>
      </c>
      <c r="E78" s="180" t="s">
        <v>564</v>
      </c>
      <c r="F78" s="174"/>
      <c r="G78" s="175"/>
      <c r="H78" s="173" t="e">
        <f>SUM(H79:H80)</f>
        <v>#REF!</v>
      </c>
      <c r="I78" s="114"/>
      <c r="J78" s="110">
        <f>J63</f>
        <v>0</v>
      </c>
    </row>
    <row r="79" spans="1:10" s="55" customFormat="1" ht="17.100000000000001" hidden="1" customHeight="1">
      <c r="A79" s="50">
        <f t="shared" si="1"/>
        <v>0</v>
      </c>
      <c r="B79" s="51"/>
      <c r="C79" s="51" t="s">
        <v>427</v>
      </c>
      <c r="D79" s="52" t="s">
        <v>428</v>
      </c>
      <c r="E79" s="1093">
        <f>paks</f>
        <v>0</v>
      </c>
      <c r="F79" s="174"/>
      <c r="G79" s="175"/>
      <c r="H79" s="54" t="e">
        <f>(H73+H74+H77)*E79</f>
        <v>#REF!</v>
      </c>
      <c r="I79" s="114"/>
      <c r="J79" s="110">
        <f>J63</f>
        <v>0</v>
      </c>
    </row>
    <row r="80" spans="1:10" s="55" customFormat="1" ht="17.100000000000001" hidden="1" customHeight="1">
      <c r="A80" s="50">
        <f t="shared" si="1"/>
        <v>0</v>
      </c>
      <c r="B80" s="51"/>
      <c r="C80" s="51" t="s">
        <v>429</v>
      </c>
      <c r="D80" s="52" t="s">
        <v>430</v>
      </c>
      <c r="E80" s="1093">
        <f>bcks</f>
        <v>0.03</v>
      </c>
      <c r="F80" s="53"/>
      <c r="G80" s="113"/>
      <c r="H80" s="54" t="e">
        <f>(H73+H74+H77)*E80</f>
        <v>#REF!</v>
      </c>
      <c r="I80" s="114"/>
      <c r="J80" s="110">
        <f>J63</f>
        <v>0</v>
      </c>
    </row>
    <row r="81" spans="1:10" s="55" customFormat="1" ht="17.100000000000001" hidden="1" customHeight="1">
      <c r="A81" s="50">
        <f t="shared" si="1"/>
        <v>0</v>
      </c>
      <c r="B81" s="51"/>
      <c r="C81" s="170" t="s">
        <v>565</v>
      </c>
      <c r="D81" s="171" t="s">
        <v>218</v>
      </c>
      <c r="E81" s="172" t="s">
        <v>566</v>
      </c>
      <c r="F81" s="53"/>
      <c r="G81" s="113"/>
      <c r="H81" s="173" t="e">
        <f>H73+H74+H77+H78</f>
        <v>#REF!</v>
      </c>
      <c r="I81" s="114"/>
      <c r="J81" s="110">
        <f>J63</f>
        <v>0</v>
      </c>
    </row>
    <row r="82" spans="1:10" s="55" customFormat="1" ht="17.100000000000001" hidden="1" customHeight="1">
      <c r="A82" s="50">
        <f t="shared" si="1"/>
        <v>0</v>
      </c>
      <c r="B82" s="51"/>
      <c r="C82" s="51" t="s">
        <v>567</v>
      </c>
      <c r="D82" s="52" t="s">
        <v>222</v>
      </c>
      <c r="E82" s="112" t="s">
        <v>1917</v>
      </c>
      <c r="F82" s="174"/>
      <c r="G82" s="175"/>
      <c r="H82" s="54" t="e">
        <f>ROUND(H81*10/100,5)</f>
        <v>#REF!</v>
      </c>
      <c r="I82" s="114"/>
      <c r="J82" s="110">
        <f>J63</f>
        <v>0</v>
      </c>
    </row>
    <row r="83" spans="1:10" s="55" customFormat="1" ht="17.100000000000001" hidden="1" customHeight="1">
      <c r="A83" s="50">
        <f t="shared" si="1"/>
        <v>0</v>
      </c>
      <c r="B83" s="51"/>
      <c r="C83" s="170" t="s">
        <v>568</v>
      </c>
      <c r="D83" s="171" t="s">
        <v>225</v>
      </c>
      <c r="E83" s="172" t="s">
        <v>192</v>
      </c>
      <c r="F83" s="53"/>
      <c r="G83" s="117"/>
      <c r="H83" s="56" t="e">
        <f>ROUND(H81+H82,5)</f>
        <v>#REF!</v>
      </c>
      <c r="I83" s="115"/>
      <c r="J83" s="110">
        <f>J63</f>
        <v>0</v>
      </c>
    </row>
    <row r="84" spans="1:10" s="263" customFormat="1" ht="17.100000000000001" hidden="1" customHeight="1">
      <c r="A84" s="264">
        <f t="shared" si="1"/>
        <v>0</v>
      </c>
      <c r="B84" s="265" t="s">
        <v>343</v>
      </c>
      <c r="C84" s="265" t="s">
        <v>344</v>
      </c>
      <c r="D84" s="266" t="s">
        <v>345</v>
      </c>
      <c r="E84" s="270"/>
      <c r="F84" s="267"/>
      <c r="G84" s="271"/>
      <c r="H84" s="268" t="e">
        <f>H110</f>
        <v>#REF!</v>
      </c>
      <c r="I84" s="272"/>
      <c r="J84" s="273">
        <f>IF(SUMIF(Khaosat!$B$6:$B$47,'PT giaKS'!B84,Khaosat!$I$6:$I$47)&lt;&gt;0,$J$6,0)</f>
        <v>0</v>
      </c>
    </row>
    <row r="85" spans="1:10" s="55" customFormat="1" ht="17.100000000000001" hidden="1" customHeight="1">
      <c r="A85" s="50">
        <f t="shared" si="1"/>
        <v>0</v>
      </c>
      <c r="B85" s="51"/>
      <c r="C85" s="51" t="s">
        <v>128</v>
      </c>
      <c r="D85" s="52" t="s">
        <v>0</v>
      </c>
      <c r="E85" s="112"/>
      <c r="F85" s="53"/>
      <c r="G85" s="117"/>
      <c r="H85" s="56">
        <f>ROUND(SUM(H86:H93),5)</f>
        <v>259077.728</v>
      </c>
      <c r="I85" s="115"/>
      <c r="J85" s="110">
        <f>J84</f>
        <v>0</v>
      </c>
    </row>
    <row r="86" spans="1:10" s="55" customFormat="1" ht="17.100000000000001" hidden="1" customHeight="1">
      <c r="A86" s="50">
        <f t="shared" si="1"/>
        <v>0</v>
      </c>
      <c r="B86" s="51"/>
      <c r="C86" s="51" t="s">
        <v>431</v>
      </c>
      <c r="D86" s="52" t="s">
        <v>26</v>
      </c>
      <c r="E86" s="112">
        <f>12</f>
        <v>12</v>
      </c>
      <c r="F86" s="53">
        <f>ROUND(VLKS!Q53/1000,5)</f>
        <v>1200</v>
      </c>
      <c r="G86" s="117">
        <f t="shared" ref="G86:G92" si="2">hsvl</f>
        <v>1</v>
      </c>
      <c r="H86" s="54">
        <f t="shared" ref="H86:H92" si="3">ROUND(E86*F86*G86,5)</f>
        <v>14400</v>
      </c>
      <c r="I86" s="114"/>
      <c r="J86" s="110">
        <f>J84</f>
        <v>0</v>
      </c>
    </row>
    <row r="87" spans="1:10" s="55" customFormat="1" ht="17.100000000000001" hidden="1" customHeight="1">
      <c r="A87" s="50">
        <f t="shared" si="1"/>
        <v>0</v>
      </c>
      <c r="B87" s="51"/>
      <c r="C87" s="51" t="s">
        <v>28</v>
      </c>
      <c r="D87" s="52" t="s">
        <v>7</v>
      </c>
      <c r="E87" s="112">
        <f>0.04</f>
        <v>0.04</v>
      </c>
      <c r="F87" s="53">
        <f>VLKS!Q59</f>
        <v>250000</v>
      </c>
      <c r="G87" s="117">
        <f t="shared" si="2"/>
        <v>1</v>
      </c>
      <c r="H87" s="54">
        <f t="shared" si="3"/>
        <v>10000</v>
      </c>
      <c r="I87" s="114"/>
      <c r="J87" s="110">
        <f>J84</f>
        <v>0</v>
      </c>
    </row>
    <row r="88" spans="1:10" s="55" customFormat="1" ht="17.100000000000001" hidden="1" customHeight="1">
      <c r="A88" s="50">
        <f t="shared" si="1"/>
        <v>0</v>
      </c>
      <c r="B88" s="51"/>
      <c r="C88" s="51" t="s">
        <v>27</v>
      </c>
      <c r="D88" s="52" t="s">
        <v>7</v>
      </c>
      <c r="E88" s="112">
        <f>0.025</f>
        <v>2.5000000000000001E-2</v>
      </c>
      <c r="F88" s="53">
        <f>VLKS!Q21</f>
        <v>70000</v>
      </c>
      <c r="G88" s="117">
        <f t="shared" si="2"/>
        <v>1</v>
      </c>
      <c r="H88" s="54">
        <f t="shared" si="3"/>
        <v>1750</v>
      </c>
      <c r="I88" s="114"/>
      <c r="J88" s="110">
        <f>J84</f>
        <v>0</v>
      </c>
    </row>
    <row r="89" spans="1:10" s="55" customFormat="1" ht="17.100000000000001" hidden="1" customHeight="1">
      <c r="A89" s="50">
        <f t="shared" si="1"/>
        <v>0</v>
      </c>
      <c r="B89" s="51"/>
      <c r="C89" s="51" t="s">
        <v>432</v>
      </c>
      <c r="D89" s="52" t="s">
        <v>26</v>
      </c>
      <c r="E89" s="112">
        <f>0.6</f>
        <v>0.6</v>
      </c>
      <c r="F89" s="53">
        <f>ROUND(VLKS!Q56/1000,5)</f>
        <v>17272</v>
      </c>
      <c r="G89" s="117">
        <f t="shared" si="2"/>
        <v>1</v>
      </c>
      <c r="H89" s="54">
        <f t="shared" si="3"/>
        <v>10363.200000000001</v>
      </c>
      <c r="I89" s="114"/>
      <c r="J89" s="110">
        <f>J84</f>
        <v>0</v>
      </c>
    </row>
    <row r="90" spans="1:10" s="55" customFormat="1" ht="17.100000000000001" hidden="1" customHeight="1">
      <c r="A90" s="50">
        <f t="shared" si="1"/>
        <v>0</v>
      </c>
      <c r="B90" s="51"/>
      <c r="C90" s="51" t="s">
        <v>433</v>
      </c>
      <c r="D90" s="52" t="s">
        <v>26</v>
      </c>
      <c r="E90" s="112">
        <f>0.4</f>
        <v>0.4</v>
      </c>
      <c r="F90" s="53">
        <f>ROUND(VLKS!Q50/1000,5)</f>
        <v>51500</v>
      </c>
      <c r="G90" s="117">
        <f t="shared" si="2"/>
        <v>1</v>
      </c>
      <c r="H90" s="54">
        <f t="shared" si="3"/>
        <v>20600</v>
      </c>
      <c r="I90" s="114"/>
      <c r="J90" s="110">
        <f>J84</f>
        <v>0</v>
      </c>
    </row>
    <row r="91" spans="1:10" s="55" customFormat="1" ht="17.100000000000001" hidden="1" customHeight="1">
      <c r="A91" s="50">
        <f t="shared" si="1"/>
        <v>0</v>
      </c>
      <c r="B91" s="51"/>
      <c r="C91" s="51" t="s">
        <v>434</v>
      </c>
      <c r="D91" s="52" t="s">
        <v>26</v>
      </c>
      <c r="E91" s="112">
        <f>6</f>
        <v>6</v>
      </c>
      <c r="F91" s="53">
        <f>ROUND(VLKS!Q57/1000,5)</f>
        <v>30000</v>
      </c>
      <c r="G91" s="117">
        <f t="shared" si="2"/>
        <v>1</v>
      </c>
      <c r="H91" s="54">
        <f t="shared" si="3"/>
        <v>180000</v>
      </c>
      <c r="I91" s="114"/>
      <c r="J91" s="110">
        <f>J84</f>
        <v>0</v>
      </c>
    </row>
    <row r="92" spans="1:10" s="55" customFormat="1" ht="17.100000000000001" hidden="1" customHeight="1">
      <c r="A92" s="50">
        <f t="shared" si="1"/>
        <v>0</v>
      </c>
      <c r="B92" s="51"/>
      <c r="C92" s="51" t="s">
        <v>421</v>
      </c>
      <c r="D92" s="52" t="s">
        <v>422</v>
      </c>
      <c r="E92" s="112">
        <f>1.5</f>
        <v>1.5</v>
      </c>
      <c r="F92" s="53">
        <f>VLKS!Q51</f>
        <v>8000</v>
      </c>
      <c r="G92" s="117">
        <f t="shared" si="2"/>
        <v>1</v>
      </c>
      <c r="H92" s="54">
        <f t="shared" si="3"/>
        <v>12000</v>
      </c>
      <c r="I92" s="114"/>
      <c r="J92" s="110">
        <f>J84</f>
        <v>0</v>
      </c>
    </row>
    <row r="93" spans="1:10" s="55" customFormat="1" ht="17.100000000000001" hidden="1" customHeight="1">
      <c r="A93" s="50">
        <f t="shared" si="1"/>
        <v>0</v>
      </c>
      <c r="B93" s="51"/>
      <c r="C93" s="51" t="s">
        <v>127</v>
      </c>
      <c r="D93" s="52" t="s">
        <v>126</v>
      </c>
      <c r="E93" s="112">
        <f>4</f>
        <v>4</v>
      </c>
      <c r="F93" s="53"/>
      <c r="G93" s="117"/>
      <c r="H93" s="54">
        <f>ROUND(SUM(H86:H92)*E93/100,5)</f>
        <v>9964.5280000000002</v>
      </c>
      <c r="I93" s="114"/>
      <c r="J93" s="110">
        <f>J84</f>
        <v>0</v>
      </c>
    </row>
    <row r="94" spans="1:10" s="55" customFormat="1" ht="17.100000000000001" hidden="1" customHeight="1">
      <c r="A94" s="50">
        <f t="shared" si="1"/>
        <v>0</v>
      </c>
      <c r="B94" s="51"/>
      <c r="C94" s="51" t="s">
        <v>125</v>
      </c>
      <c r="D94" s="52" t="s">
        <v>0</v>
      </c>
      <c r="E94" s="112"/>
      <c r="F94" s="53"/>
      <c r="G94" s="117"/>
      <c r="H94" s="56" t="e">
        <f>ROUND(SUM(H95:H96),5)</f>
        <v>#REF!</v>
      </c>
      <c r="I94" s="115"/>
      <c r="J94" s="110">
        <f>J84</f>
        <v>0</v>
      </c>
    </row>
    <row r="95" spans="1:10" s="55" customFormat="1" ht="17.100000000000001" hidden="1" customHeight="1">
      <c r="A95" s="50">
        <f t="shared" si="1"/>
        <v>0</v>
      </c>
      <c r="B95" s="51"/>
      <c r="C95" s="51" t="s">
        <v>423</v>
      </c>
      <c r="D95" s="52" t="s">
        <v>3</v>
      </c>
      <c r="E95" s="112">
        <f>10.17</f>
        <v>10.17</v>
      </c>
      <c r="F95" s="53" t="e">
        <f>'NC,M KS'!P4</f>
        <v>#REF!</v>
      </c>
      <c r="G95" s="117">
        <f>hsnc</f>
        <v>1</v>
      </c>
      <c r="H95" s="54" t="e">
        <f>ROUND(E95*F95*G95,5)</f>
        <v>#REF!</v>
      </c>
      <c r="I95" s="114"/>
      <c r="J95" s="110">
        <f>J84</f>
        <v>0</v>
      </c>
    </row>
    <row r="96" spans="1:10" s="55" customFormat="1" ht="17.100000000000001" hidden="1" customHeight="1">
      <c r="A96" s="50">
        <f t="shared" si="1"/>
        <v>0</v>
      </c>
      <c r="B96" s="51"/>
      <c r="C96" s="51" t="s">
        <v>435</v>
      </c>
      <c r="D96" s="52" t="s">
        <v>3</v>
      </c>
      <c r="E96" s="112">
        <f>25.17</f>
        <v>25.17</v>
      </c>
      <c r="F96" s="53" t="e">
        <f>'NC,M KS'!P7</f>
        <v>#REF!</v>
      </c>
      <c r="G96" s="117">
        <f>hsnc</f>
        <v>1</v>
      </c>
      <c r="H96" s="54" t="e">
        <f>ROUND(E96*F96*G96,5)</f>
        <v>#REF!</v>
      </c>
      <c r="I96" s="114"/>
      <c r="J96" s="110">
        <f>J84</f>
        <v>0</v>
      </c>
    </row>
    <row r="97" spans="1:10" s="55" customFormat="1" ht="17.100000000000001" hidden="1" customHeight="1">
      <c r="A97" s="50">
        <f t="shared" si="1"/>
        <v>0</v>
      </c>
      <c r="B97" s="51"/>
      <c r="C97" s="51" t="s">
        <v>124</v>
      </c>
      <c r="D97" s="52" t="s">
        <v>0</v>
      </c>
      <c r="E97" s="112"/>
      <c r="F97" s="53"/>
      <c r="G97" s="117"/>
      <c r="H97" s="56">
        <f>ROUND(SUM(H98:H99),5)</f>
        <v>816918.3</v>
      </c>
      <c r="I97" s="115"/>
      <c r="J97" s="110">
        <f>J84</f>
        <v>0</v>
      </c>
    </row>
    <row r="98" spans="1:10" s="55" customFormat="1" ht="17.100000000000001" hidden="1" customHeight="1">
      <c r="A98" s="50">
        <f t="shared" si="1"/>
        <v>0</v>
      </c>
      <c r="B98" s="51"/>
      <c r="C98" s="51" t="s">
        <v>436</v>
      </c>
      <c r="D98" s="52" t="s">
        <v>4</v>
      </c>
      <c r="E98" s="112">
        <f>5.05</f>
        <v>5.05</v>
      </c>
      <c r="F98" s="53">
        <f>'NC,M KS'!P28</f>
        <v>147060</v>
      </c>
      <c r="G98" s="117">
        <f>hsm</f>
        <v>1</v>
      </c>
      <c r="H98" s="54">
        <f>ROUND(E98*F98*G98,5)</f>
        <v>742653</v>
      </c>
      <c r="I98" s="114"/>
      <c r="J98" s="110">
        <f>J84</f>
        <v>0</v>
      </c>
    </row>
    <row r="99" spans="1:10" s="55" customFormat="1" ht="17.100000000000001" hidden="1" customHeight="1">
      <c r="A99" s="50">
        <f t="shared" si="1"/>
        <v>0</v>
      </c>
      <c r="B99" s="51"/>
      <c r="C99" s="51" t="s">
        <v>130</v>
      </c>
      <c r="D99" s="52" t="s">
        <v>126</v>
      </c>
      <c r="E99" s="112">
        <f>10</f>
        <v>10</v>
      </c>
      <c r="F99" s="53"/>
      <c r="G99" s="117"/>
      <c r="H99" s="54">
        <f>ROUND(SUM(H98:H98)*E99/100,5)</f>
        <v>74265.3</v>
      </c>
      <c r="I99" s="114"/>
      <c r="J99" s="110">
        <f>J84</f>
        <v>0</v>
      </c>
    </row>
    <row r="100" spans="1:10" s="55" customFormat="1" ht="17.100000000000001" hidden="1" customHeight="1">
      <c r="A100" s="50">
        <f t="shared" si="1"/>
        <v>0</v>
      </c>
      <c r="B100" s="51"/>
      <c r="C100" s="170" t="s">
        <v>556</v>
      </c>
      <c r="D100" s="171" t="s">
        <v>136</v>
      </c>
      <c r="E100" s="172" t="s">
        <v>205</v>
      </c>
      <c r="F100" s="53"/>
      <c r="G100" s="117"/>
      <c r="H100" s="173" t="e">
        <f>ROUND(H85+H94+H97,5)</f>
        <v>#REF!</v>
      </c>
      <c r="I100" s="114"/>
      <c r="J100" s="110">
        <f>J84</f>
        <v>0</v>
      </c>
    </row>
    <row r="101" spans="1:10" s="55" customFormat="1" ht="17.100000000000001" hidden="1" customHeight="1">
      <c r="A101" s="50">
        <f t="shared" si="1"/>
        <v>0</v>
      </c>
      <c r="B101" s="51"/>
      <c r="C101" s="170" t="s">
        <v>557</v>
      </c>
      <c r="D101" s="171" t="s">
        <v>204</v>
      </c>
      <c r="E101" s="172" t="s">
        <v>558</v>
      </c>
      <c r="F101" s="53"/>
      <c r="G101" s="117"/>
      <c r="H101" s="173" t="e">
        <f>SUM(H102:H103)</f>
        <v>#REF!</v>
      </c>
      <c r="I101" s="114"/>
      <c r="J101" s="110">
        <f>J84</f>
        <v>0</v>
      </c>
    </row>
    <row r="102" spans="1:10" s="55" customFormat="1" ht="17.100000000000001" hidden="1" customHeight="1">
      <c r="A102" s="50">
        <f t="shared" si="1"/>
        <v>0</v>
      </c>
      <c r="B102" s="51"/>
      <c r="C102" s="51" t="s">
        <v>426</v>
      </c>
      <c r="D102" s="52" t="s">
        <v>559</v>
      </c>
      <c r="E102" s="116">
        <f>cpc</f>
        <v>0.7</v>
      </c>
      <c r="F102" s="174"/>
      <c r="G102" s="175"/>
      <c r="H102" s="54" t="e">
        <f>E102*H94</f>
        <v>#REF!</v>
      </c>
      <c r="I102" s="114"/>
      <c r="J102" s="110">
        <f>J84</f>
        <v>0</v>
      </c>
    </row>
    <row r="103" spans="1:10" s="55" customFormat="1" ht="17.100000000000001" hidden="1" customHeight="1">
      <c r="A103" s="50">
        <f t="shared" si="1"/>
        <v>0</v>
      </c>
      <c r="B103" s="51"/>
      <c r="C103" s="78" t="s">
        <v>560</v>
      </c>
      <c r="D103" s="79" t="s">
        <v>561</v>
      </c>
      <c r="E103" s="176">
        <f>hmc</f>
        <v>0.05</v>
      </c>
      <c r="F103" s="53"/>
      <c r="G103" s="113"/>
      <c r="H103" s="54" t="e">
        <f>E103*H100</f>
        <v>#REF!</v>
      </c>
      <c r="I103" s="114"/>
      <c r="J103" s="110">
        <f>J84</f>
        <v>0</v>
      </c>
    </row>
    <row r="104" spans="1:10" s="55" customFormat="1" ht="17.100000000000001" hidden="1" customHeight="1">
      <c r="A104" s="50">
        <f t="shared" si="1"/>
        <v>0</v>
      </c>
      <c r="B104" s="51"/>
      <c r="C104" s="170" t="s">
        <v>562</v>
      </c>
      <c r="D104" s="171" t="s">
        <v>563</v>
      </c>
      <c r="E104" s="179">
        <f>tn</f>
        <v>0.06</v>
      </c>
      <c r="F104" s="177"/>
      <c r="G104" s="178"/>
      <c r="H104" s="181" t="e">
        <f>SUM(H100:H101)*E104</f>
        <v>#REF!</v>
      </c>
      <c r="I104" s="114"/>
      <c r="J104" s="715">
        <f>J84</f>
        <v>0</v>
      </c>
    </row>
    <row r="105" spans="1:10" s="55" customFormat="1" ht="17.100000000000001" hidden="1" customHeight="1">
      <c r="A105" s="50">
        <f t="shared" si="1"/>
        <v>0</v>
      </c>
      <c r="B105" s="51"/>
      <c r="C105" s="92" t="s">
        <v>1879</v>
      </c>
      <c r="D105" s="171" t="s">
        <v>227</v>
      </c>
      <c r="E105" s="180" t="s">
        <v>564</v>
      </c>
      <c r="F105" s="174"/>
      <c r="G105" s="175"/>
      <c r="H105" s="173" t="e">
        <f>SUM(H106:H107)</f>
        <v>#REF!</v>
      </c>
      <c r="I105" s="114"/>
      <c r="J105" s="715">
        <f>J84</f>
        <v>0</v>
      </c>
    </row>
    <row r="106" spans="1:10" s="55" customFormat="1" ht="17.100000000000001" hidden="1" customHeight="1">
      <c r="A106" s="50">
        <f t="shared" si="1"/>
        <v>0</v>
      </c>
      <c r="B106" s="51"/>
      <c r="C106" s="51" t="s">
        <v>427</v>
      </c>
      <c r="D106" s="52" t="s">
        <v>428</v>
      </c>
      <c r="E106" s="1093">
        <f>paks</f>
        <v>0</v>
      </c>
      <c r="F106" s="174"/>
      <c r="G106" s="175"/>
      <c r="H106" s="54" t="e">
        <f>(H100+H101+H104)*E106</f>
        <v>#REF!</v>
      </c>
      <c r="I106" s="114"/>
      <c r="J106" s="715">
        <f>J84</f>
        <v>0</v>
      </c>
    </row>
    <row r="107" spans="1:10" s="55" customFormat="1" ht="17.100000000000001" hidden="1" customHeight="1">
      <c r="A107" s="50">
        <f t="shared" si="1"/>
        <v>0</v>
      </c>
      <c r="B107" s="51"/>
      <c r="C107" s="51" t="s">
        <v>429</v>
      </c>
      <c r="D107" s="52" t="s">
        <v>430</v>
      </c>
      <c r="E107" s="1093">
        <f>bcks</f>
        <v>0.03</v>
      </c>
      <c r="F107" s="53"/>
      <c r="G107" s="113"/>
      <c r="H107" s="54" t="e">
        <f>(H100+H101+H104)*E107</f>
        <v>#REF!</v>
      </c>
      <c r="I107" s="114"/>
      <c r="J107" s="715">
        <f>J84</f>
        <v>0</v>
      </c>
    </row>
    <row r="108" spans="1:10" s="55" customFormat="1" ht="17.100000000000001" hidden="1" customHeight="1">
      <c r="A108" s="50">
        <f t="shared" si="1"/>
        <v>0</v>
      </c>
      <c r="B108" s="51"/>
      <c r="C108" s="170" t="s">
        <v>565</v>
      </c>
      <c r="D108" s="171" t="s">
        <v>218</v>
      </c>
      <c r="E108" s="172" t="s">
        <v>566</v>
      </c>
      <c r="F108" s="53"/>
      <c r="G108" s="113"/>
      <c r="H108" s="173" t="e">
        <f>H100+H101+H104+H105</f>
        <v>#REF!</v>
      </c>
      <c r="I108" s="114"/>
      <c r="J108" s="715">
        <f>J84</f>
        <v>0</v>
      </c>
    </row>
    <row r="109" spans="1:10" s="55" customFormat="1" ht="17.100000000000001" hidden="1" customHeight="1">
      <c r="A109" s="50">
        <f t="shared" si="1"/>
        <v>0</v>
      </c>
      <c r="B109" s="51"/>
      <c r="C109" s="51" t="s">
        <v>567</v>
      </c>
      <c r="D109" s="52" t="s">
        <v>222</v>
      </c>
      <c r="E109" s="112" t="s">
        <v>1917</v>
      </c>
      <c r="F109" s="174"/>
      <c r="G109" s="175"/>
      <c r="H109" s="54" t="e">
        <f>ROUND(H108*10/100,5)</f>
        <v>#REF!</v>
      </c>
      <c r="I109" s="114"/>
      <c r="J109" s="715">
        <f>J84</f>
        <v>0</v>
      </c>
    </row>
    <row r="110" spans="1:10" s="55" customFormat="1" ht="17.100000000000001" hidden="1" customHeight="1">
      <c r="A110" s="50">
        <f t="shared" si="1"/>
        <v>0</v>
      </c>
      <c r="B110" s="51"/>
      <c r="C110" s="170" t="s">
        <v>568</v>
      </c>
      <c r="D110" s="171" t="s">
        <v>225</v>
      </c>
      <c r="E110" s="172" t="s">
        <v>192</v>
      </c>
      <c r="F110" s="53"/>
      <c r="G110" s="117"/>
      <c r="H110" s="56" t="e">
        <f>ROUND(H108+H109,5)</f>
        <v>#REF!</v>
      </c>
      <c r="I110" s="115"/>
      <c r="J110" s="715">
        <f>J84</f>
        <v>0</v>
      </c>
    </row>
    <row r="111" spans="1:10" s="263" customFormat="1" ht="17.100000000000001" hidden="1" customHeight="1">
      <c r="A111" s="264">
        <f t="shared" si="1"/>
        <v>0</v>
      </c>
      <c r="B111" s="265" t="s">
        <v>346</v>
      </c>
      <c r="C111" s="265" t="s">
        <v>1292</v>
      </c>
      <c r="D111" s="266" t="s">
        <v>345</v>
      </c>
      <c r="E111" s="270"/>
      <c r="F111" s="267"/>
      <c r="G111" s="271"/>
      <c r="H111" s="268" t="e">
        <f>H136</f>
        <v>#REF!</v>
      </c>
      <c r="I111" s="272"/>
      <c r="J111" s="273">
        <f>IF(SUMIF(Khaosat!$B$6:$B$47,'PT giaKS'!B111,Khaosat!$I$6:$I$47)&lt;&gt;0,$J$6,0)</f>
        <v>0</v>
      </c>
    </row>
    <row r="112" spans="1:10" s="55" customFormat="1" ht="17.100000000000001" hidden="1" customHeight="1">
      <c r="A112" s="50">
        <f t="shared" si="1"/>
        <v>0</v>
      </c>
      <c r="B112" s="51"/>
      <c r="C112" s="51" t="s">
        <v>128</v>
      </c>
      <c r="D112" s="52" t="s">
        <v>0</v>
      </c>
      <c r="E112" s="112"/>
      <c r="F112" s="53"/>
      <c r="G112" s="117"/>
      <c r="H112" s="56">
        <f>ROUND(SUM(H113:H119),5)</f>
        <v>29201.919999999998</v>
      </c>
      <c r="I112" s="115"/>
      <c r="J112" s="110">
        <f>J111</f>
        <v>0</v>
      </c>
    </row>
    <row r="113" spans="1:10" s="55" customFormat="1" ht="17.100000000000001" hidden="1" customHeight="1">
      <c r="A113" s="50">
        <f t="shared" si="1"/>
        <v>0</v>
      </c>
      <c r="B113" s="51"/>
      <c r="C113" s="51" t="s">
        <v>431</v>
      </c>
      <c r="D113" s="52" t="s">
        <v>26</v>
      </c>
      <c r="E113" s="112">
        <f>3</f>
        <v>3</v>
      </c>
      <c r="F113" s="53">
        <f>ROUND(VLKS!Q53/1000,5)</f>
        <v>1200</v>
      </c>
      <c r="G113" s="117">
        <f t="shared" ref="G113:G118" si="4">hsvl</f>
        <v>1</v>
      </c>
      <c r="H113" s="54">
        <f t="shared" ref="H113:H118" si="5">ROUND(E113*F113*G113,5)</f>
        <v>3600</v>
      </c>
      <c r="I113" s="114"/>
      <c r="J113" s="110">
        <f>J111</f>
        <v>0</v>
      </c>
    </row>
    <row r="114" spans="1:10" s="55" customFormat="1" ht="17.100000000000001" hidden="1" customHeight="1">
      <c r="A114" s="50">
        <f t="shared" si="1"/>
        <v>0</v>
      </c>
      <c r="B114" s="51"/>
      <c r="C114" s="51" t="s">
        <v>28</v>
      </c>
      <c r="D114" s="52" t="s">
        <v>7</v>
      </c>
      <c r="E114" s="112">
        <f>0.01</f>
        <v>0.01</v>
      </c>
      <c r="F114" s="53">
        <f>VLKS!Q59</f>
        <v>250000</v>
      </c>
      <c r="G114" s="117">
        <f t="shared" si="4"/>
        <v>1</v>
      </c>
      <c r="H114" s="54">
        <f t="shared" si="5"/>
        <v>2500</v>
      </c>
      <c r="I114" s="114"/>
      <c r="J114" s="110">
        <f>J111</f>
        <v>0</v>
      </c>
    </row>
    <row r="115" spans="1:10" s="55" customFormat="1" ht="17.100000000000001" hidden="1" customHeight="1">
      <c r="A115" s="50">
        <f t="shared" si="1"/>
        <v>0</v>
      </c>
      <c r="B115" s="51"/>
      <c r="C115" s="51" t="s">
        <v>27</v>
      </c>
      <c r="D115" s="52" t="s">
        <v>7</v>
      </c>
      <c r="E115" s="112">
        <f>0.006</f>
        <v>6.0000000000000001E-3</v>
      </c>
      <c r="F115" s="53">
        <f>VLKS!Q21</f>
        <v>70000</v>
      </c>
      <c r="G115" s="117">
        <f t="shared" si="4"/>
        <v>1</v>
      </c>
      <c r="H115" s="54">
        <f t="shared" si="5"/>
        <v>420</v>
      </c>
      <c r="I115" s="114"/>
      <c r="J115" s="110">
        <f>J111</f>
        <v>0</v>
      </c>
    </row>
    <row r="116" spans="1:10" s="55" customFormat="1" ht="17.100000000000001" hidden="1" customHeight="1">
      <c r="A116" s="50">
        <f t="shared" si="1"/>
        <v>0</v>
      </c>
      <c r="B116" s="51"/>
      <c r="C116" s="51" t="s">
        <v>432</v>
      </c>
      <c r="D116" s="52" t="s">
        <v>26</v>
      </c>
      <c r="E116" s="112">
        <f>0.1</f>
        <v>0.1</v>
      </c>
      <c r="F116" s="53">
        <f>ROUND(VLKS!Q56/1000,5)</f>
        <v>17272</v>
      </c>
      <c r="G116" s="117">
        <f t="shared" si="4"/>
        <v>1</v>
      </c>
      <c r="H116" s="54">
        <f t="shared" si="5"/>
        <v>1727.2</v>
      </c>
      <c r="I116" s="114"/>
      <c r="J116" s="110">
        <f>J111</f>
        <v>0</v>
      </c>
    </row>
    <row r="117" spans="1:10" s="55" customFormat="1" ht="17.100000000000001" hidden="1" customHeight="1">
      <c r="A117" s="50">
        <f t="shared" si="1"/>
        <v>0</v>
      </c>
      <c r="B117" s="51"/>
      <c r="C117" s="51" t="s">
        <v>433</v>
      </c>
      <c r="D117" s="52" t="s">
        <v>26</v>
      </c>
      <c r="E117" s="112">
        <f>0.2</f>
        <v>0.2</v>
      </c>
      <c r="F117" s="53">
        <f>ROUND(VLKS!Q50/1000,5)</f>
        <v>51500</v>
      </c>
      <c r="G117" s="117">
        <f t="shared" si="4"/>
        <v>1</v>
      </c>
      <c r="H117" s="54">
        <f t="shared" si="5"/>
        <v>10300</v>
      </c>
      <c r="I117" s="114"/>
      <c r="J117" s="110">
        <f>J111</f>
        <v>0</v>
      </c>
    </row>
    <row r="118" spans="1:10" s="55" customFormat="1" ht="17.100000000000001" hidden="1" customHeight="1">
      <c r="A118" s="50">
        <f t="shared" si="1"/>
        <v>0</v>
      </c>
      <c r="B118" s="51"/>
      <c r="C118" s="51" t="s">
        <v>421</v>
      </c>
      <c r="D118" s="52" t="s">
        <v>422</v>
      </c>
      <c r="E118" s="112">
        <f>1</f>
        <v>1</v>
      </c>
      <c r="F118" s="53">
        <f>VLKS!Q51</f>
        <v>8000</v>
      </c>
      <c r="G118" s="117">
        <f t="shared" si="4"/>
        <v>1</v>
      </c>
      <c r="H118" s="54">
        <f t="shared" si="5"/>
        <v>8000</v>
      </c>
      <c r="I118" s="114"/>
      <c r="J118" s="110">
        <f>J111</f>
        <v>0</v>
      </c>
    </row>
    <row r="119" spans="1:10" s="55" customFormat="1" ht="17.100000000000001" hidden="1" customHeight="1">
      <c r="A119" s="50">
        <f t="shared" si="1"/>
        <v>0</v>
      </c>
      <c r="B119" s="51"/>
      <c r="C119" s="51" t="s">
        <v>127</v>
      </c>
      <c r="D119" s="52" t="s">
        <v>126</v>
      </c>
      <c r="E119" s="112">
        <f>10</f>
        <v>10</v>
      </c>
      <c r="F119" s="53"/>
      <c r="G119" s="117"/>
      <c r="H119" s="54">
        <f>ROUND(SUM(H113:H118)*E119/100,5)</f>
        <v>2654.72</v>
      </c>
      <c r="I119" s="114"/>
      <c r="J119" s="110">
        <f>J111</f>
        <v>0</v>
      </c>
    </row>
    <row r="120" spans="1:10" s="55" customFormat="1" ht="17.100000000000001" hidden="1" customHeight="1">
      <c r="A120" s="50">
        <f t="shared" si="1"/>
        <v>0</v>
      </c>
      <c r="B120" s="51"/>
      <c r="C120" s="51" t="s">
        <v>125</v>
      </c>
      <c r="D120" s="52" t="s">
        <v>0</v>
      </c>
      <c r="E120" s="112"/>
      <c r="F120" s="53"/>
      <c r="G120" s="117"/>
      <c r="H120" s="56" t="e">
        <f>ROUND(SUM(H121:H122),5)</f>
        <v>#REF!</v>
      </c>
      <c r="I120" s="115"/>
      <c r="J120" s="110">
        <f>J111</f>
        <v>0</v>
      </c>
    </row>
    <row r="121" spans="1:10" s="55" customFormat="1" ht="17.100000000000001" hidden="1" customHeight="1">
      <c r="A121" s="50">
        <f t="shared" si="1"/>
        <v>0</v>
      </c>
      <c r="B121" s="51"/>
      <c r="C121" s="51" t="s">
        <v>423</v>
      </c>
      <c r="D121" s="52" t="s">
        <v>3</v>
      </c>
      <c r="E121" s="112">
        <f>1.81</f>
        <v>1.81</v>
      </c>
      <c r="F121" s="53" t="e">
        <f>'NC,M KS'!P4</f>
        <v>#REF!</v>
      </c>
      <c r="G121" s="117">
        <f>hsnc</f>
        <v>1</v>
      </c>
      <c r="H121" s="54" t="e">
        <f>ROUND(E121*F121*G121,5)</f>
        <v>#REF!</v>
      </c>
      <c r="I121" s="114"/>
      <c r="J121" s="110">
        <f>J111</f>
        <v>0</v>
      </c>
    </row>
    <row r="122" spans="1:10" s="55" customFormat="1" ht="17.100000000000001" hidden="1" customHeight="1">
      <c r="A122" s="50">
        <f t="shared" si="1"/>
        <v>0</v>
      </c>
      <c r="B122" s="51"/>
      <c r="C122" s="51" t="s">
        <v>424</v>
      </c>
      <c r="D122" s="52" t="s">
        <v>3</v>
      </c>
      <c r="E122" s="112">
        <f>4.51</f>
        <v>4.51</v>
      </c>
      <c r="F122" s="53" t="e">
        <f>'NC,M KS'!P6</f>
        <v>#REF!</v>
      </c>
      <c r="G122" s="117">
        <f>hsnc</f>
        <v>1</v>
      </c>
      <c r="H122" s="54" t="e">
        <f>ROUND(E122*F122*G122,5)</f>
        <v>#REF!</v>
      </c>
      <c r="I122" s="114"/>
      <c r="J122" s="110">
        <f>J111</f>
        <v>0</v>
      </c>
    </row>
    <row r="123" spans="1:10" s="55" customFormat="1" ht="17.100000000000001" hidden="1" customHeight="1">
      <c r="A123" s="50">
        <f t="shared" si="1"/>
        <v>0</v>
      </c>
      <c r="B123" s="51"/>
      <c r="C123" s="51" t="s">
        <v>124</v>
      </c>
      <c r="D123" s="52" t="s">
        <v>0</v>
      </c>
      <c r="E123" s="112"/>
      <c r="F123" s="53"/>
      <c r="G123" s="117"/>
      <c r="H123" s="56">
        <f>ROUND(SUM(H124:H125),5)</f>
        <v>42059.16</v>
      </c>
      <c r="I123" s="115"/>
      <c r="J123" s="110">
        <f>J111</f>
        <v>0</v>
      </c>
    </row>
    <row r="124" spans="1:10" s="55" customFormat="1" ht="17.100000000000001" hidden="1" customHeight="1">
      <c r="A124" s="50">
        <f t="shared" si="1"/>
        <v>0</v>
      </c>
      <c r="B124" s="51"/>
      <c r="C124" s="51" t="s">
        <v>436</v>
      </c>
      <c r="D124" s="52" t="s">
        <v>4</v>
      </c>
      <c r="E124" s="112">
        <f>0.26</f>
        <v>0.26</v>
      </c>
      <c r="F124" s="53">
        <f>'NC,M KS'!P28</f>
        <v>147060</v>
      </c>
      <c r="G124" s="117">
        <f>hsm</f>
        <v>1</v>
      </c>
      <c r="H124" s="54">
        <f>ROUND(E124*F124*G124,5)</f>
        <v>38235.599999999999</v>
      </c>
      <c r="I124" s="114"/>
      <c r="J124" s="110">
        <f>J111</f>
        <v>0</v>
      </c>
    </row>
    <row r="125" spans="1:10" s="55" customFormat="1" ht="17.100000000000001" hidden="1" customHeight="1">
      <c r="A125" s="50">
        <f t="shared" si="1"/>
        <v>0</v>
      </c>
      <c r="B125" s="51"/>
      <c r="C125" s="51" t="s">
        <v>130</v>
      </c>
      <c r="D125" s="52" t="s">
        <v>126</v>
      </c>
      <c r="E125" s="112">
        <f>10</f>
        <v>10</v>
      </c>
      <c r="F125" s="53"/>
      <c r="G125" s="117"/>
      <c r="H125" s="54">
        <f>ROUND(SUM(H124:H124)*E125/100,5)</f>
        <v>3823.56</v>
      </c>
      <c r="I125" s="114"/>
      <c r="J125" s="110">
        <f>J111</f>
        <v>0</v>
      </c>
    </row>
    <row r="126" spans="1:10" s="55" customFormat="1" ht="17.100000000000001" hidden="1" customHeight="1">
      <c r="A126" s="50">
        <f t="shared" si="1"/>
        <v>0</v>
      </c>
      <c r="B126" s="51"/>
      <c r="C126" s="170" t="s">
        <v>556</v>
      </c>
      <c r="D126" s="171" t="s">
        <v>136</v>
      </c>
      <c r="E126" s="172" t="s">
        <v>205</v>
      </c>
      <c r="F126" s="53"/>
      <c r="G126" s="117"/>
      <c r="H126" s="173" t="e">
        <f>ROUND(H112+H120+H123,5)</f>
        <v>#REF!</v>
      </c>
      <c r="I126" s="114"/>
      <c r="J126" s="110">
        <f>J111</f>
        <v>0</v>
      </c>
    </row>
    <row r="127" spans="1:10" s="55" customFormat="1" ht="17.100000000000001" hidden="1" customHeight="1">
      <c r="A127" s="50">
        <f t="shared" si="1"/>
        <v>0</v>
      </c>
      <c r="B127" s="51"/>
      <c r="C127" s="170" t="s">
        <v>557</v>
      </c>
      <c r="D127" s="171" t="s">
        <v>204</v>
      </c>
      <c r="E127" s="172" t="s">
        <v>558</v>
      </c>
      <c r="F127" s="53"/>
      <c r="G127" s="117"/>
      <c r="H127" s="173" t="e">
        <f>SUM(H128:H129)</f>
        <v>#REF!</v>
      </c>
      <c r="I127" s="114"/>
      <c r="J127" s="110">
        <f>J111</f>
        <v>0</v>
      </c>
    </row>
    <row r="128" spans="1:10" s="55" customFormat="1" ht="17.100000000000001" hidden="1" customHeight="1">
      <c r="A128" s="50">
        <f t="shared" si="1"/>
        <v>0</v>
      </c>
      <c r="B128" s="51"/>
      <c r="C128" s="51" t="s">
        <v>426</v>
      </c>
      <c r="D128" s="52" t="s">
        <v>559</v>
      </c>
      <c r="E128" s="116">
        <f>cpc</f>
        <v>0.7</v>
      </c>
      <c r="F128" s="174"/>
      <c r="G128" s="175"/>
      <c r="H128" s="54" t="e">
        <f>E128*H120</f>
        <v>#REF!</v>
      </c>
      <c r="I128" s="114"/>
      <c r="J128" s="110">
        <f>J111</f>
        <v>0</v>
      </c>
    </row>
    <row r="129" spans="1:10" s="55" customFormat="1" ht="17.100000000000001" hidden="1" customHeight="1">
      <c r="A129" s="50">
        <f t="shared" si="1"/>
        <v>0</v>
      </c>
      <c r="B129" s="51"/>
      <c r="C129" s="78" t="s">
        <v>560</v>
      </c>
      <c r="D129" s="79" t="s">
        <v>561</v>
      </c>
      <c r="E129" s="176">
        <f>hmc</f>
        <v>0.05</v>
      </c>
      <c r="F129" s="53"/>
      <c r="G129" s="113"/>
      <c r="H129" s="54" t="e">
        <f>E129*H126</f>
        <v>#REF!</v>
      </c>
      <c r="I129" s="114"/>
      <c r="J129" s="110">
        <f>J111</f>
        <v>0</v>
      </c>
    </row>
    <row r="130" spans="1:10" s="55" customFormat="1" ht="17.100000000000001" hidden="1" customHeight="1">
      <c r="A130" s="50">
        <f t="shared" si="1"/>
        <v>0</v>
      </c>
      <c r="B130" s="51"/>
      <c r="C130" s="170" t="s">
        <v>562</v>
      </c>
      <c r="D130" s="171" t="s">
        <v>563</v>
      </c>
      <c r="E130" s="179">
        <f>tn</f>
        <v>0.06</v>
      </c>
      <c r="F130" s="177"/>
      <c r="G130" s="178"/>
      <c r="H130" s="181" t="e">
        <f>SUM(H126:H127)*E130</f>
        <v>#REF!</v>
      </c>
      <c r="I130" s="114"/>
      <c r="J130" s="110">
        <f>J111</f>
        <v>0</v>
      </c>
    </row>
    <row r="131" spans="1:10" s="55" customFormat="1" ht="17.100000000000001" hidden="1" customHeight="1">
      <c r="A131" s="50">
        <f t="shared" si="1"/>
        <v>0</v>
      </c>
      <c r="B131" s="51"/>
      <c r="C131" s="92" t="s">
        <v>1879</v>
      </c>
      <c r="D131" s="171" t="s">
        <v>227</v>
      </c>
      <c r="E131" s="180" t="s">
        <v>564</v>
      </c>
      <c r="F131" s="174"/>
      <c r="G131" s="175"/>
      <c r="H131" s="173" t="e">
        <f>SUM(H132:H133)</f>
        <v>#REF!</v>
      </c>
      <c r="I131" s="114"/>
      <c r="J131" s="715">
        <f>J111</f>
        <v>0</v>
      </c>
    </row>
    <row r="132" spans="1:10" s="55" customFormat="1" ht="17.100000000000001" hidden="1" customHeight="1">
      <c r="A132" s="50">
        <f t="shared" si="1"/>
        <v>0</v>
      </c>
      <c r="B132" s="51"/>
      <c r="C132" s="51" t="s">
        <v>427</v>
      </c>
      <c r="D132" s="52" t="s">
        <v>428</v>
      </c>
      <c r="E132" s="1093">
        <f>paks</f>
        <v>0</v>
      </c>
      <c r="F132" s="174"/>
      <c r="G132" s="175"/>
      <c r="H132" s="54" t="e">
        <f>(H126+H127+H130)*E132</f>
        <v>#REF!</v>
      </c>
      <c r="I132" s="114"/>
      <c r="J132" s="715">
        <f>J111</f>
        <v>0</v>
      </c>
    </row>
    <row r="133" spans="1:10" s="55" customFormat="1" ht="17.100000000000001" hidden="1" customHeight="1">
      <c r="A133" s="50">
        <f t="shared" si="1"/>
        <v>0</v>
      </c>
      <c r="B133" s="51"/>
      <c r="C133" s="51" t="s">
        <v>429</v>
      </c>
      <c r="D133" s="52" t="s">
        <v>430</v>
      </c>
      <c r="E133" s="1093">
        <f>bcks</f>
        <v>0.03</v>
      </c>
      <c r="F133" s="53"/>
      <c r="G133" s="113"/>
      <c r="H133" s="54" t="e">
        <f>(H126+H127+H130)*E133</f>
        <v>#REF!</v>
      </c>
      <c r="I133" s="114"/>
      <c r="J133" s="715">
        <f>J111</f>
        <v>0</v>
      </c>
    </row>
    <row r="134" spans="1:10" s="55" customFormat="1" ht="17.100000000000001" hidden="1" customHeight="1">
      <c r="A134" s="50">
        <f t="shared" si="1"/>
        <v>0</v>
      </c>
      <c r="B134" s="51"/>
      <c r="C134" s="170" t="s">
        <v>565</v>
      </c>
      <c r="D134" s="171" t="s">
        <v>218</v>
      </c>
      <c r="E134" s="172" t="s">
        <v>566</v>
      </c>
      <c r="F134" s="53"/>
      <c r="G134" s="113"/>
      <c r="H134" s="173" t="e">
        <f>H126+H127+H130+H131</f>
        <v>#REF!</v>
      </c>
      <c r="I134" s="114"/>
      <c r="J134" s="715">
        <f>J111</f>
        <v>0</v>
      </c>
    </row>
    <row r="135" spans="1:10" s="55" customFormat="1" ht="17.100000000000001" hidden="1" customHeight="1">
      <c r="A135" s="50">
        <f t="shared" si="1"/>
        <v>0</v>
      </c>
      <c r="B135" s="51"/>
      <c r="C135" s="51" t="s">
        <v>567</v>
      </c>
      <c r="D135" s="52" t="s">
        <v>222</v>
      </c>
      <c r="E135" s="112" t="s">
        <v>1917</v>
      </c>
      <c r="F135" s="174"/>
      <c r="G135" s="175"/>
      <c r="H135" s="54" t="e">
        <f>ROUND(H134*10/100,5)</f>
        <v>#REF!</v>
      </c>
      <c r="I135" s="114"/>
      <c r="J135" s="715">
        <f>J111</f>
        <v>0</v>
      </c>
    </row>
    <row r="136" spans="1:10" s="55" customFormat="1" ht="17.100000000000001" hidden="1" customHeight="1">
      <c r="A136" s="50">
        <f t="shared" si="1"/>
        <v>0</v>
      </c>
      <c r="B136" s="51"/>
      <c r="C136" s="170" t="s">
        <v>568</v>
      </c>
      <c r="D136" s="171" t="s">
        <v>225</v>
      </c>
      <c r="E136" s="172" t="s">
        <v>192</v>
      </c>
      <c r="F136" s="53"/>
      <c r="G136" s="117"/>
      <c r="H136" s="56" t="e">
        <f>ROUND(H134+H135,5)</f>
        <v>#REF!</v>
      </c>
      <c r="I136" s="115"/>
      <c r="J136" s="715">
        <f>J111</f>
        <v>0</v>
      </c>
    </row>
    <row r="137" spans="1:10" s="263" customFormat="1" ht="17.100000000000001" hidden="1" customHeight="1">
      <c r="A137" s="264" t="e">
        <f t="shared" ref="A137:A200" si="6">IF(B137&lt;&gt;0,A136+J137,A136)</f>
        <v>#REF!</v>
      </c>
      <c r="B137" s="265" t="s">
        <v>347</v>
      </c>
      <c r="C137" s="265" t="s">
        <v>348</v>
      </c>
      <c r="D137" s="266" t="s">
        <v>345</v>
      </c>
      <c r="E137" s="270"/>
      <c r="F137" s="267"/>
      <c r="G137" s="271"/>
      <c r="H137" s="268" t="e">
        <f>H162</f>
        <v>#REF!</v>
      </c>
      <c r="I137" s="272"/>
      <c r="J137" s="273" t="e">
        <f>IF(SUMIF(Khaosat!$B$6:$B$47,'PT giaKS'!B137,Khaosat!$I$6:$I$47)&lt;&gt;0,$J$6,0)</f>
        <v>#REF!</v>
      </c>
    </row>
    <row r="138" spans="1:10" s="55" customFormat="1" ht="17.100000000000001" hidden="1" customHeight="1">
      <c r="A138" s="50" t="e">
        <f t="shared" si="6"/>
        <v>#REF!</v>
      </c>
      <c r="B138" s="51"/>
      <c r="C138" s="51" t="s">
        <v>128</v>
      </c>
      <c r="D138" s="52" t="s">
        <v>0</v>
      </c>
      <c r="E138" s="112"/>
      <c r="F138" s="53"/>
      <c r="G138" s="117"/>
      <c r="H138" s="56">
        <f>ROUND(SUM(H139:H145),5)</f>
        <v>39294.42</v>
      </c>
      <c r="I138" s="115"/>
      <c r="J138" s="110" t="e">
        <f>J137</f>
        <v>#REF!</v>
      </c>
    </row>
    <row r="139" spans="1:10" s="55" customFormat="1" ht="17.100000000000001" hidden="1" customHeight="1">
      <c r="A139" s="50" t="e">
        <f t="shared" si="6"/>
        <v>#REF!</v>
      </c>
      <c r="B139" s="51"/>
      <c r="C139" s="51" t="s">
        <v>431</v>
      </c>
      <c r="D139" s="52" t="s">
        <v>26</v>
      </c>
      <c r="E139" s="112">
        <f>13</f>
        <v>13</v>
      </c>
      <c r="F139" s="53">
        <f>ROUND(VLKS!Q53/1000,5)</f>
        <v>1200</v>
      </c>
      <c r="G139" s="117">
        <f t="shared" ref="G139:G144" si="7">hsvl</f>
        <v>1</v>
      </c>
      <c r="H139" s="54">
        <f t="shared" ref="H139:H144" si="8">ROUND(E139*F139*G139,5)</f>
        <v>15600</v>
      </c>
      <c r="I139" s="114"/>
      <c r="J139" s="110" t="e">
        <f>J137</f>
        <v>#REF!</v>
      </c>
    </row>
    <row r="140" spans="1:10" s="55" customFormat="1" ht="17.100000000000001" hidden="1" customHeight="1">
      <c r="A140" s="50" t="e">
        <f t="shared" si="6"/>
        <v>#REF!</v>
      </c>
      <c r="B140" s="51"/>
      <c r="C140" s="51" t="s">
        <v>28</v>
      </c>
      <c r="D140" s="52" t="s">
        <v>7</v>
      </c>
      <c r="E140" s="112">
        <f>0.04</f>
        <v>0.04</v>
      </c>
      <c r="F140" s="53">
        <f>VLKS!Q59</f>
        <v>250000</v>
      </c>
      <c r="G140" s="117">
        <f t="shared" si="7"/>
        <v>1</v>
      </c>
      <c r="H140" s="54">
        <f t="shared" si="8"/>
        <v>10000</v>
      </c>
      <c r="I140" s="114"/>
      <c r="J140" s="110" t="e">
        <f>J137</f>
        <v>#REF!</v>
      </c>
    </row>
    <row r="141" spans="1:10" s="55" customFormat="1" ht="17.100000000000001" hidden="1" customHeight="1">
      <c r="A141" s="50" t="e">
        <f t="shared" si="6"/>
        <v>#REF!</v>
      </c>
      <c r="B141" s="51"/>
      <c r="C141" s="51" t="s">
        <v>27</v>
      </c>
      <c r="D141" s="52" t="s">
        <v>7</v>
      </c>
      <c r="E141" s="112">
        <f>0.026</f>
        <v>2.5999999999999999E-2</v>
      </c>
      <c r="F141" s="53">
        <f>VLKS!Q21</f>
        <v>70000</v>
      </c>
      <c r="G141" s="117">
        <f t="shared" si="7"/>
        <v>1</v>
      </c>
      <c r="H141" s="54">
        <f t="shared" si="8"/>
        <v>1820</v>
      </c>
      <c r="I141" s="114"/>
      <c r="J141" s="110" t="e">
        <f>J137</f>
        <v>#REF!</v>
      </c>
    </row>
    <row r="142" spans="1:10" s="55" customFormat="1" ht="17.100000000000001" hidden="1" customHeight="1">
      <c r="A142" s="50" t="e">
        <f t="shared" si="6"/>
        <v>#REF!</v>
      </c>
      <c r="B142" s="51"/>
      <c r="C142" s="51" t="s">
        <v>432</v>
      </c>
      <c r="D142" s="52" t="s">
        <v>26</v>
      </c>
      <c r="E142" s="112">
        <f>0.1</f>
        <v>0.1</v>
      </c>
      <c r="F142" s="53">
        <f>ROUND(VLKS!Q56/1000,5)</f>
        <v>17272</v>
      </c>
      <c r="G142" s="117">
        <f t="shared" si="7"/>
        <v>1</v>
      </c>
      <c r="H142" s="54">
        <f t="shared" si="8"/>
        <v>1727.2</v>
      </c>
      <c r="I142" s="114"/>
      <c r="J142" s="110" t="e">
        <f>J137</f>
        <v>#REF!</v>
      </c>
    </row>
    <row r="143" spans="1:10" s="55" customFormat="1" ht="17.100000000000001" hidden="1" customHeight="1">
      <c r="A143" s="50" t="e">
        <f t="shared" si="6"/>
        <v>#REF!</v>
      </c>
      <c r="B143" s="51"/>
      <c r="C143" s="51" t="s">
        <v>433</v>
      </c>
      <c r="D143" s="52" t="s">
        <v>26</v>
      </c>
      <c r="E143" s="112">
        <f>0.05</f>
        <v>0.05</v>
      </c>
      <c r="F143" s="53">
        <f>ROUND(VLKS!Q50/1000,5)</f>
        <v>51500</v>
      </c>
      <c r="G143" s="117">
        <f t="shared" si="7"/>
        <v>1</v>
      </c>
      <c r="H143" s="54">
        <f t="shared" si="8"/>
        <v>2575</v>
      </c>
      <c r="I143" s="114"/>
      <c r="J143" s="110" t="e">
        <f>J137</f>
        <v>#REF!</v>
      </c>
    </row>
    <row r="144" spans="1:10" s="55" customFormat="1" ht="17.100000000000001" hidden="1" customHeight="1">
      <c r="A144" s="50" t="e">
        <f t="shared" si="6"/>
        <v>#REF!</v>
      </c>
      <c r="B144" s="51"/>
      <c r="C144" s="51" t="s">
        <v>421</v>
      </c>
      <c r="D144" s="52" t="s">
        <v>422</v>
      </c>
      <c r="E144" s="112">
        <f>0.5</f>
        <v>0.5</v>
      </c>
      <c r="F144" s="53">
        <f>VLKS!Q51</f>
        <v>8000</v>
      </c>
      <c r="G144" s="117">
        <f t="shared" si="7"/>
        <v>1</v>
      </c>
      <c r="H144" s="54">
        <f t="shared" si="8"/>
        <v>4000</v>
      </c>
      <c r="I144" s="114"/>
      <c r="J144" s="110" t="e">
        <f>J137</f>
        <v>#REF!</v>
      </c>
    </row>
    <row r="145" spans="1:10" s="55" customFormat="1" ht="17.100000000000001" hidden="1" customHeight="1">
      <c r="A145" s="50" t="e">
        <f t="shared" si="6"/>
        <v>#REF!</v>
      </c>
      <c r="B145" s="51"/>
      <c r="C145" s="51" t="s">
        <v>127</v>
      </c>
      <c r="D145" s="52" t="s">
        <v>126</v>
      </c>
      <c r="E145" s="112">
        <f>10</f>
        <v>10</v>
      </c>
      <c r="F145" s="53"/>
      <c r="G145" s="117"/>
      <c r="H145" s="54">
        <f>ROUND(SUM(H139:H144)*E145/100,5)</f>
        <v>3572.22</v>
      </c>
      <c r="I145" s="114"/>
      <c r="J145" s="110" t="e">
        <f>J137</f>
        <v>#REF!</v>
      </c>
    </row>
    <row r="146" spans="1:10" s="55" customFormat="1" ht="17.100000000000001" hidden="1" customHeight="1">
      <c r="A146" s="50" t="e">
        <f t="shared" si="6"/>
        <v>#REF!</v>
      </c>
      <c r="B146" s="51"/>
      <c r="C146" s="51" t="s">
        <v>125</v>
      </c>
      <c r="D146" s="52" t="s">
        <v>0</v>
      </c>
      <c r="E146" s="112"/>
      <c r="F146" s="53"/>
      <c r="G146" s="117"/>
      <c r="H146" s="56" t="e">
        <f>ROUND(SUM(H147:H148),5)</f>
        <v>#REF!</v>
      </c>
      <c r="I146" s="115"/>
      <c r="J146" s="110" t="e">
        <f>J137</f>
        <v>#REF!</v>
      </c>
    </row>
    <row r="147" spans="1:10" s="55" customFormat="1" ht="17.100000000000001" hidden="1" customHeight="1">
      <c r="A147" s="50" t="e">
        <f t="shared" si="6"/>
        <v>#REF!</v>
      </c>
      <c r="B147" s="51"/>
      <c r="C147" s="51" t="s">
        <v>423</v>
      </c>
      <c r="D147" s="52" t="s">
        <v>3</v>
      </c>
      <c r="E147" s="112">
        <f>1.01</f>
        <v>1.01</v>
      </c>
      <c r="F147" s="53" t="e">
        <f>'NC,M KS'!P4</f>
        <v>#REF!</v>
      </c>
      <c r="G147" s="117">
        <f>hsnc</f>
        <v>1</v>
      </c>
      <c r="H147" s="54" t="e">
        <f>ROUND(E147*F147*G147,5)</f>
        <v>#REF!</v>
      </c>
      <c r="I147" s="114"/>
      <c r="J147" s="110" t="e">
        <f>J137</f>
        <v>#REF!</v>
      </c>
    </row>
    <row r="148" spans="1:10" s="55" customFormat="1" ht="17.100000000000001" hidden="1" customHeight="1">
      <c r="A148" s="50" t="e">
        <f t="shared" si="6"/>
        <v>#REF!</v>
      </c>
      <c r="B148" s="51"/>
      <c r="C148" s="51" t="s">
        <v>424</v>
      </c>
      <c r="D148" s="52" t="s">
        <v>3</v>
      </c>
      <c r="E148" s="112">
        <f>2.47</f>
        <v>2.4700000000000002</v>
      </c>
      <c r="F148" s="53" t="e">
        <f>'NC,M KS'!P6</f>
        <v>#REF!</v>
      </c>
      <c r="G148" s="117">
        <f>hsnc</f>
        <v>1</v>
      </c>
      <c r="H148" s="54" t="e">
        <f>ROUND(E148*F148*G148,5)</f>
        <v>#REF!</v>
      </c>
      <c r="I148" s="114"/>
      <c r="J148" s="110" t="e">
        <f>J137</f>
        <v>#REF!</v>
      </c>
    </row>
    <row r="149" spans="1:10" s="55" customFormat="1" ht="17.100000000000001" hidden="1" customHeight="1">
      <c r="A149" s="50" t="e">
        <f t="shared" si="6"/>
        <v>#REF!</v>
      </c>
      <c r="B149" s="51"/>
      <c r="C149" s="51" t="s">
        <v>124</v>
      </c>
      <c r="D149" s="52" t="s">
        <v>0</v>
      </c>
      <c r="E149" s="112"/>
      <c r="F149" s="53"/>
      <c r="G149" s="117"/>
      <c r="H149" s="56">
        <f>ROUND(SUM(H150:H151),5)</f>
        <v>30735.54</v>
      </c>
      <c r="I149" s="115"/>
      <c r="J149" s="110" t="e">
        <f>J137</f>
        <v>#REF!</v>
      </c>
    </row>
    <row r="150" spans="1:10" s="55" customFormat="1" ht="17.100000000000001" hidden="1" customHeight="1">
      <c r="A150" s="50" t="e">
        <f t="shared" si="6"/>
        <v>#REF!</v>
      </c>
      <c r="B150" s="51"/>
      <c r="C150" s="51" t="s">
        <v>436</v>
      </c>
      <c r="D150" s="52" t="s">
        <v>4</v>
      </c>
      <c r="E150" s="112">
        <f>0.19</f>
        <v>0.19</v>
      </c>
      <c r="F150" s="53">
        <f>'NC,M KS'!P28</f>
        <v>147060</v>
      </c>
      <c r="G150" s="117">
        <f>hsm</f>
        <v>1</v>
      </c>
      <c r="H150" s="54">
        <f>ROUND(E150*F150*G150,5)</f>
        <v>27941.4</v>
      </c>
      <c r="I150" s="114"/>
      <c r="J150" s="110" t="e">
        <f>J137</f>
        <v>#REF!</v>
      </c>
    </row>
    <row r="151" spans="1:10" s="55" customFormat="1" ht="17.100000000000001" hidden="1" customHeight="1">
      <c r="A151" s="50" t="e">
        <f t="shared" si="6"/>
        <v>#REF!</v>
      </c>
      <c r="B151" s="51"/>
      <c r="C151" s="51" t="s">
        <v>130</v>
      </c>
      <c r="D151" s="52" t="s">
        <v>126</v>
      </c>
      <c r="E151" s="112">
        <f>10</f>
        <v>10</v>
      </c>
      <c r="F151" s="53"/>
      <c r="G151" s="117"/>
      <c r="H151" s="54">
        <f>ROUND(SUM(H150:H150)*E151/100,5)</f>
        <v>2794.14</v>
      </c>
      <c r="I151" s="114"/>
      <c r="J151" s="110" t="e">
        <f>J137</f>
        <v>#REF!</v>
      </c>
    </row>
    <row r="152" spans="1:10" s="55" customFormat="1" ht="17.100000000000001" hidden="1" customHeight="1">
      <c r="A152" s="50" t="e">
        <f t="shared" si="6"/>
        <v>#REF!</v>
      </c>
      <c r="B152" s="51"/>
      <c r="C152" s="170" t="s">
        <v>556</v>
      </c>
      <c r="D152" s="171" t="s">
        <v>136</v>
      </c>
      <c r="E152" s="172" t="s">
        <v>205</v>
      </c>
      <c r="F152" s="53"/>
      <c r="G152" s="117"/>
      <c r="H152" s="173" t="e">
        <f>ROUND(H138+H146+H149,5)</f>
        <v>#REF!</v>
      </c>
      <c r="I152" s="114"/>
      <c r="J152" s="110" t="e">
        <f>J137</f>
        <v>#REF!</v>
      </c>
    </row>
    <row r="153" spans="1:10" s="55" customFormat="1" ht="17.100000000000001" hidden="1" customHeight="1">
      <c r="A153" s="50" t="e">
        <f t="shared" si="6"/>
        <v>#REF!</v>
      </c>
      <c r="B153" s="51"/>
      <c r="C153" s="170" t="s">
        <v>557</v>
      </c>
      <c r="D153" s="171" t="s">
        <v>204</v>
      </c>
      <c r="E153" s="172" t="s">
        <v>558</v>
      </c>
      <c r="F153" s="53"/>
      <c r="G153" s="117"/>
      <c r="H153" s="173" t="e">
        <f>SUM(H154:H155)</f>
        <v>#REF!</v>
      </c>
      <c r="I153" s="114"/>
      <c r="J153" s="110" t="e">
        <f>J137</f>
        <v>#REF!</v>
      </c>
    </row>
    <row r="154" spans="1:10" s="55" customFormat="1" ht="17.100000000000001" hidden="1" customHeight="1">
      <c r="A154" s="50" t="e">
        <f t="shared" si="6"/>
        <v>#REF!</v>
      </c>
      <c r="B154" s="51"/>
      <c r="C154" s="51" t="s">
        <v>426</v>
      </c>
      <c r="D154" s="52" t="s">
        <v>559</v>
      </c>
      <c r="E154" s="116">
        <f>cpc</f>
        <v>0.7</v>
      </c>
      <c r="F154" s="174"/>
      <c r="G154" s="175"/>
      <c r="H154" s="54" t="e">
        <f>E154*H146</f>
        <v>#REF!</v>
      </c>
      <c r="I154" s="114"/>
      <c r="J154" s="110" t="e">
        <f>J137</f>
        <v>#REF!</v>
      </c>
    </row>
    <row r="155" spans="1:10" s="55" customFormat="1" ht="17.100000000000001" hidden="1" customHeight="1">
      <c r="A155" s="50" t="e">
        <f t="shared" si="6"/>
        <v>#REF!</v>
      </c>
      <c r="B155" s="51"/>
      <c r="C155" s="78" t="s">
        <v>560</v>
      </c>
      <c r="D155" s="79" t="s">
        <v>561</v>
      </c>
      <c r="E155" s="176">
        <f>hmc</f>
        <v>0.05</v>
      </c>
      <c r="F155" s="53"/>
      <c r="G155" s="113"/>
      <c r="H155" s="54" t="e">
        <f>E155*H152</f>
        <v>#REF!</v>
      </c>
      <c r="I155" s="114"/>
      <c r="J155" s="110" t="e">
        <f>J137</f>
        <v>#REF!</v>
      </c>
    </row>
    <row r="156" spans="1:10" s="55" customFormat="1" ht="17.100000000000001" hidden="1" customHeight="1">
      <c r="A156" s="50" t="e">
        <f t="shared" si="6"/>
        <v>#REF!</v>
      </c>
      <c r="B156" s="51"/>
      <c r="C156" s="170" t="s">
        <v>562</v>
      </c>
      <c r="D156" s="171" t="s">
        <v>563</v>
      </c>
      <c r="E156" s="179">
        <f>tn</f>
        <v>0.06</v>
      </c>
      <c r="F156" s="177"/>
      <c r="G156" s="178"/>
      <c r="H156" s="181" t="e">
        <f>SUM(H152:H153)*E156</f>
        <v>#REF!</v>
      </c>
      <c r="I156" s="114"/>
      <c r="J156" s="110" t="e">
        <f>J137</f>
        <v>#REF!</v>
      </c>
    </row>
    <row r="157" spans="1:10" s="55" customFormat="1" ht="17.100000000000001" hidden="1" customHeight="1">
      <c r="A157" s="50" t="e">
        <f t="shared" si="6"/>
        <v>#REF!</v>
      </c>
      <c r="B157" s="51"/>
      <c r="C157" s="92" t="s">
        <v>1879</v>
      </c>
      <c r="D157" s="171" t="s">
        <v>227</v>
      </c>
      <c r="E157" s="180" t="s">
        <v>564</v>
      </c>
      <c r="F157" s="174"/>
      <c r="G157" s="175"/>
      <c r="H157" s="173" t="e">
        <f>SUM(H158:H159)</f>
        <v>#REF!</v>
      </c>
      <c r="I157" s="114"/>
      <c r="J157" s="715" t="e">
        <f>J137</f>
        <v>#REF!</v>
      </c>
    </row>
    <row r="158" spans="1:10" s="55" customFormat="1" ht="17.100000000000001" hidden="1" customHeight="1">
      <c r="A158" s="50" t="e">
        <f t="shared" si="6"/>
        <v>#REF!</v>
      </c>
      <c r="B158" s="51"/>
      <c r="C158" s="51" t="s">
        <v>427</v>
      </c>
      <c r="D158" s="52" t="s">
        <v>428</v>
      </c>
      <c r="E158" s="1093">
        <f>paks</f>
        <v>0</v>
      </c>
      <c r="F158" s="174"/>
      <c r="G158" s="175"/>
      <c r="H158" s="54" t="e">
        <f>(H152+H153+H156)*E158</f>
        <v>#REF!</v>
      </c>
      <c r="I158" s="114"/>
      <c r="J158" s="715" t="e">
        <f>J137</f>
        <v>#REF!</v>
      </c>
    </row>
    <row r="159" spans="1:10" s="55" customFormat="1" ht="17.100000000000001" hidden="1" customHeight="1">
      <c r="A159" s="50" t="e">
        <f t="shared" si="6"/>
        <v>#REF!</v>
      </c>
      <c r="B159" s="51"/>
      <c r="C159" s="51" t="s">
        <v>429</v>
      </c>
      <c r="D159" s="52" t="s">
        <v>430</v>
      </c>
      <c r="E159" s="1093">
        <f>bcks</f>
        <v>0.03</v>
      </c>
      <c r="F159" s="53"/>
      <c r="G159" s="113"/>
      <c r="H159" s="54" t="e">
        <f>(H152+H153+H156)*E159</f>
        <v>#REF!</v>
      </c>
      <c r="I159" s="114"/>
      <c r="J159" s="715" t="e">
        <f>J137</f>
        <v>#REF!</v>
      </c>
    </row>
    <row r="160" spans="1:10" s="55" customFormat="1" ht="17.100000000000001" hidden="1" customHeight="1">
      <c r="A160" s="50" t="e">
        <f t="shared" si="6"/>
        <v>#REF!</v>
      </c>
      <c r="B160" s="51"/>
      <c r="C160" s="170" t="s">
        <v>565</v>
      </c>
      <c r="D160" s="171" t="s">
        <v>218</v>
      </c>
      <c r="E160" s="172" t="s">
        <v>566</v>
      </c>
      <c r="F160" s="53"/>
      <c r="G160" s="113"/>
      <c r="H160" s="173" t="e">
        <f>H152+H153+H156+H157</f>
        <v>#REF!</v>
      </c>
      <c r="I160" s="114"/>
      <c r="J160" s="715" t="e">
        <f>J137</f>
        <v>#REF!</v>
      </c>
    </row>
    <row r="161" spans="1:10" s="55" customFormat="1" ht="17.100000000000001" hidden="1" customHeight="1">
      <c r="A161" s="50" t="e">
        <f t="shared" si="6"/>
        <v>#REF!</v>
      </c>
      <c r="B161" s="51"/>
      <c r="C161" s="51" t="s">
        <v>567</v>
      </c>
      <c r="D161" s="52" t="s">
        <v>222</v>
      </c>
      <c r="E161" s="112" t="s">
        <v>1917</v>
      </c>
      <c r="F161" s="174"/>
      <c r="G161" s="175"/>
      <c r="H161" s="54" t="e">
        <f>ROUND(H160*10/100,5)</f>
        <v>#REF!</v>
      </c>
      <c r="I161" s="114"/>
      <c r="J161" s="715" t="e">
        <f>J137</f>
        <v>#REF!</v>
      </c>
    </row>
    <row r="162" spans="1:10" s="55" customFormat="1" ht="17.100000000000001" hidden="1" customHeight="1">
      <c r="A162" s="50" t="e">
        <f t="shared" si="6"/>
        <v>#REF!</v>
      </c>
      <c r="B162" s="51"/>
      <c r="C162" s="170" t="s">
        <v>568</v>
      </c>
      <c r="D162" s="171" t="s">
        <v>225</v>
      </c>
      <c r="E162" s="172" t="s">
        <v>192</v>
      </c>
      <c r="F162" s="53"/>
      <c r="G162" s="117"/>
      <c r="H162" s="56" t="e">
        <f>ROUND(H160+H161,5)</f>
        <v>#REF!</v>
      </c>
      <c r="I162" s="115"/>
      <c r="J162" s="715" t="e">
        <f>J137</f>
        <v>#REF!</v>
      </c>
    </row>
    <row r="163" spans="1:10" s="263" customFormat="1" ht="17.100000000000001" hidden="1" customHeight="1">
      <c r="A163" s="264" t="e">
        <f t="shared" si="6"/>
        <v>#REF!</v>
      </c>
      <c r="B163" s="265" t="s">
        <v>349</v>
      </c>
      <c r="C163" s="265" t="s">
        <v>350</v>
      </c>
      <c r="D163" s="266" t="s">
        <v>345</v>
      </c>
      <c r="E163" s="270"/>
      <c r="F163" s="267"/>
      <c r="G163" s="271"/>
      <c r="H163" s="268" t="e">
        <f>H188</f>
        <v>#REF!</v>
      </c>
      <c r="I163" s="272"/>
      <c r="J163" s="273">
        <f>IF(SUMIF(Khaosat!$B$6:$B$47,'PT giaKS'!B163,Khaosat!$I$6:$I$47)&lt;&gt;0,$J$6,0)</f>
        <v>0</v>
      </c>
    </row>
    <row r="164" spans="1:10" s="55" customFormat="1" ht="17.100000000000001" hidden="1" customHeight="1">
      <c r="A164" s="50" t="e">
        <f t="shared" si="6"/>
        <v>#REF!</v>
      </c>
      <c r="B164" s="51"/>
      <c r="C164" s="51" t="s">
        <v>128</v>
      </c>
      <c r="D164" s="52" t="s">
        <v>0</v>
      </c>
      <c r="E164" s="112"/>
      <c r="F164" s="53"/>
      <c r="G164" s="117"/>
      <c r="H164" s="56">
        <f>ROUND(SUM(H165:H171),5)</f>
        <v>39294.42</v>
      </c>
      <c r="I164" s="115"/>
      <c r="J164" s="110">
        <f>J163</f>
        <v>0</v>
      </c>
    </row>
    <row r="165" spans="1:10" s="55" customFormat="1" ht="17.100000000000001" hidden="1" customHeight="1">
      <c r="A165" s="50" t="e">
        <f t="shared" si="6"/>
        <v>#REF!</v>
      </c>
      <c r="B165" s="51"/>
      <c r="C165" s="51" t="s">
        <v>431</v>
      </c>
      <c r="D165" s="52" t="s">
        <v>26</v>
      </c>
      <c r="E165" s="112">
        <f>13</f>
        <v>13</v>
      </c>
      <c r="F165" s="53">
        <f>ROUND(VLKS!Q53/1000,5)</f>
        <v>1200</v>
      </c>
      <c r="G165" s="117">
        <f t="shared" ref="G165:G170" si="9">hsvl</f>
        <v>1</v>
      </c>
      <c r="H165" s="54">
        <f t="shared" ref="H165:H170" si="10">ROUND(E165*F165*G165,5)</f>
        <v>15600</v>
      </c>
      <c r="I165" s="114"/>
      <c r="J165" s="110">
        <f>J163</f>
        <v>0</v>
      </c>
    </row>
    <row r="166" spans="1:10" s="55" customFormat="1" ht="17.100000000000001" hidden="1" customHeight="1">
      <c r="A166" s="50" t="e">
        <f t="shared" si="6"/>
        <v>#REF!</v>
      </c>
      <c r="B166" s="51"/>
      <c r="C166" s="51" t="s">
        <v>28</v>
      </c>
      <c r="D166" s="52" t="s">
        <v>7</v>
      </c>
      <c r="E166" s="112">
        <f>0.04</f>
        <v>0.04</v>
      </c>
      <c r="F166" s="53">
        <f>VLKS!Q59</f>
        <v>250000</v>
      </c>
      <c r="G166" s="117">
        <f t="shared" si="9"/>
        <v>1</v>
      </c>
      <c r="H166" s="54">
        <f t="shared" si="10"/>
        <v>10000</v>
      </c>
      <c r="I166" s="114"/>
      <c r="J166" s="110">
        <f>J163</f>
        <v>0</v>
      </c>
    </row>
    <row r="167" spans="1:10" s="55" customFormat="1" ht="17.100000000000001" hidden="1" customHeight="1">
      <c r="A167" s="50" t="e">
        <f t="shared" si="6"/>
        <v>#REF!</v>
      </c>
      <c r="B167" s="51"/>
      <c r="C167" s="51" t="s">
        <v>27</v>
      </c>
      <c r="D167" s="52" t="s">
        <v>7</v>
      </c>
      <c r="E167" s="112">
        <f>0.026</f>
        <v>2.5999999999999999E-2</v>
      </c>
      <c r="F167" s="53">
        <f>VLKS!Q21</f>
        <v>70000</v>
      </c>
      <c r="G167" s="117">
        <f t="shared" si="9"/>
        <v>1</v>
      </c>
      <c r="H167" s="54">
        <f t="shared" si="10"/>
        <v>1820</v>
      </c>
      <c r="I167" s="114"/>
      <c r="J167" s="110">
        <f>J163</f>
        <v>0</v>
      </c>
    </row>
    <row r="168" spans="1:10" s="55" customFormat="1" ht="17.100000000000001" hidden="1" customHeight="1">
      <c r="A168" s="50" t="e">
        <f t="shared" si="6"/>
        <v>#REF!</v>
      </c>
      <c r="B168" s="51"/>
      <c r="C168" s="51" t="s">
        <v>432</v>
      </c>
      <c r="D168" s="52" t="s">
        <v>26</v>
      </c>
      <c r="E168" s="112">
        <f>0.1</f>
        <v>0.1</v>
      </c>
      <c r="F168" s="53">
        <f>ROUND(VLKS!Q56/1000,5)</f>
        <v>17272</v>
      </c>
      <c r="G168" s="117">
        <f t="shared" si="9"/>
        <v>1</v>
      </c>
      <c r="H168" s="54">
        <f t="shared" si="10"/>
        <v>1727.2</v>
      </c>
      <c r="I168" s="114"/>
      <c r="J168" s="110">
        <f>J163</f>
        <v>0</v>
      </c>
    </row>
    <row r="169" spans="1:10" s="55" customFormat="1" ht="17.100000000000001" hidden="1" customHeight="1">
      <c r="A169" s="50" t="e">
        <f t="shared" si="6"/>
        <v>#REF!</v>
      </c>
      <c r="B169" s="51"/>
      <c r="C169" s="51" t="s">
        <v>433</v>
      </c>
      <c r="D169" s="52" t="s">
        <v>26</v>
      </c>
      <c r="E169" s="112">
        <f>0.05</f>
        <v>0.05</v>
      </c>
      <c r="F169" s="53">
        <f>ROUND(VLKS!Q50/1000,5)</f>
        <v>51500</v>
      </c>
      <c r="G169" s="117">
        <f t="shared" si="9"/>
        <v>1</v>
      </c>
      <c r="H169" s="54">
        <f t="shared" si="10"/>
        <v>2575</v>
      </c>
      <c r="I169" s="114"/>
      <c r="J169" s="110">
        <f>J163</f>
        <v>0</v>
      </c>
    </row>
    <row r="170" spans="1:10" s="55" customFormat="1" ht="17.100000000000001" hidden="1" customHeight="1">
      <c r="A170" s="50" t="e">
        <f t="shared" si="6"/>
        <v>#REF!</v>
      </c>
      <c r="B170" s="51"/>
      <c r="C170" s="51" t="s">
        <v>421</v>
      </c>
      <c r="D170" s="52" t="s">
        <v>422</v>
      </c>
      <c r="E170" s="112">
        <f>0.5</f>
        <v>0.5</v>
      </c>
      <c r="F170" s="53">
        <f>VLKS!Q51</f>
        <v>8000</v>
      </c>
      <c r="G170" s="117">
        <f t="shared" si="9"/>
        <v>1</v>
      </c>
      <c r="H170" s="54">
        <f t="shared" si="10"/>
        <v>4000</v>
      </c>
      <c r="I170" s="114"/>
      <c r="J170" s="110">
        <f>J163</f>
        <v>0</v>
      </c>
    </row>
    <row r="171" spans="1:10" s="55" customFormat="1" ht="17.100000000000001" hidden="1" customHeight="1">
      <c r="A171" s="50" t="e">
        <f t="shared" si="6"/>
        <v>#REF!</v>
      </c>
      <c r="B171" s="51"/>
      <c r="C171" s="51" t="s">
        <v>127</v>
      </c>
      <c r="D171" s="52" t="s">
        <v>126</v>
      </c>
      <c r="E171" s="112">
        <f>10</f>
        <v>10</v>
      </c>
      <c r="F171" s="53"/>
      <c r="G171" s="117"/>
      <c r="H171" s="54">
        <f>ROUND(SUM(H165:H170)*E171/100,5)</f>
        <v>3572.22</v>
      </c>
      <c r="I171" s="114"/>
      <c r="J171" s="110">
        <f>J163</f>
        <v>0</v>
      </c>
    </row>
    <row r="172" spans="1:10" s="55" customFormat="1" ht="17.100000000000001" hidden="1" customHeight="1">
      <c r="A172" s="50" t="e">
        <f t="shared" si="6"/>
        <v>#REF!</v>
      </c>
      <c r="B172" s="51"/>
      <c r="C172" s="51" t="s">
        <v>125</v>
      </c>
      <c r="D172" s="52" t="s">
        <v>0</v>
      </c>
      <c r="E172" s="112"/>
      <c r="F172" s="53"/>
      <c r="G172" s="117"/>
      <c r="H172" s="56" t="e">
        <f>ROUND(SUM(H173:H174),5)</f>
        <v>#REF!</v>
      </c>
      <c r="I172" s="115"/>
      <c r="J172" s="110">
        <f>J163</f>
        <v>0</v>
      </c>
    </row>
    <row r="173" spans="1:10" s="55" customFormat="1" ht="17.100000000000001" hidden="1" customHeight="1">
      <c r="A173" s="50" t="e">
        <f t="shared" si="6"/>
        <v>#REF!</v>
      </c>
      <c r="B173" s="51"/>
      <c r="C173" s="51" t="s">
        <v>423</v>
      </c>
      <c r="D173" s="52" t="s">
        <v>3</v>
      </c>
      <c r="E173" s="112">
        <f>1.16</f>
        <v>1.1599999999999999</v>
      </c>
      <c r="F173" s="53" t="e">
        <f>'NC,M KS'!P4</f>
        <v>#REF!</v>
      </c>
      <c r="G173" s="117">
        <f>hsnc</f>
        <v>1</v>
      </c>
      <c r="H173" s="54" t="e">
        <f>ROUND(E173*F173*G173,5)</f>
        <v>#REF!</v>
      </c>
      <c r="I173" s="114"/>
      <c r="J173" s="110">
        <f>J163</f>
        <v>0</v>
      </c>
    </row>
    <row r="174" spans="1:10" s="55" customFormat="1" ht="17.100000000000001" hidden="1" customHeight="1">
      <c r="A174" s="50" t="e">
        <f t="shared" si="6"/>
        <v>#REF!</v>
      </c>
      <c r="B174" s="51"/>
      <c r="C174" s="51" t="s">
        <v>424</v>
      </c>
      <c r="D174" s="52" t="s">
        <v>3</v>
      </c>
      <c r="E174" s="112">
        <f>3.08</f>
        <v>3.08</v>
      </c>
      <c r="F174" s="53" t="e">
        <f>'NC,M KS'!P6</f>
        <v>#REF!</v>
      </c>
      <c r="G174" s="117">
        <f>hsnc</f>
        <v>1</v>
      </c>
      <c r="H174" s="54" t="e">
        <f>ROUND(E174*F174*G174,5)</f>
        <v>#REF!</v>
      </c>
      <c r="I174" s="114"/>
      <c r="J174" s="110">
        <f>J163</f>
        <v>0</v>
      </c>
    </row>
    <row r="175" spans="1:10" s="55" customFormat="1" ht="17.100000000000001" hidden="1" customHeight="1">
      <c r="A175" s="50" t="e">
        <f t="shared" si="6"/>
        <v>#REF!</v>
      </c>
      <c r="B175" s="51"/>
      <c r="C175" s="51" t="s">
        <v>124</v>
      </c>
      <c r="D175" s="52" t="s">
        <v>0</v>
      </c>
      <c r="E175" s="112"/>
      <c r="F175" s="53"/>
      <c r="G175" s="117"/>
      <c r="H175" s="56">
        <f>ROUND(SUM(H176:H177),5)</f>
        <v>33970.86</v>
      </c>
      <c r="I175" s="115"/>
      <c r="J175" s="110">
        <f>J163</f>
        <v>0</v>
      </c>
    </row>
    <row r="176" spans="1:10" s="55" customFormat="1" ht="17.100000000000001" hidden="1" customHeight="1">
      <c r="A176" s="50" t="e">
        <f t="shared" si="6"/>
        <v>#REF!</v>
      </c>
      <c r="B176" s="51"/>
      <c r="C176" s="51" t="s">
        <v>436</v>
      </c>
      <c r="D176" s="52" t="s">
        <v>4</v>
      </c>
      <c r="E176" s="112">
        <f>0.21</f>
        <v>0.21</v>
      </c>
      <c r="F176" s="53">
        <f>'NC,M KS'!P28</f>
        <v>147060</v>
      </c>
      <c r="G176" s="117">
        <f>hsm</f>
        <v>1</v>
      </c>
      <c r="H176" s="54">
        <f>ROUND(E176*F176*G176,5)</f>
        <v>30882.6</v>
      </c>
      <c r="I176" s="114"/>
      <c r="J176" s="110">
        <f>J163</f>
        <v>0</v>
      </c>
    </row>
    <row r="177" spans="1:10" s="55" customFormat="1" ht="17.100000000000001" hidden="1" customHeight="1">
      <c r="A177" s="50" t="e">
        <f t="shared" si="6"/>
        <v>#REF!</v>
      </c>
      <c r="B177" s="51"/>
      <c r="C177" s="51" t="s">
        <v>130</v>
      </c>
      <c r="D177" s="52" t="s">
        <v>126</v>
      </c>
      <c r="E177" s="112">
        <f>10</f>
        <v>10</v>
      </c>
      <c r="F177" s="53"/>
      <c r="G177" s="117"/>
      <c r="H177" s="54">
        <f>ROUND(SUM(H176:H176)*E177/100,5)</f>
        <v>3088.26</v>
      </c>
      <c r="I177" s="114"/>
      <c r="J177" s="110">
        <f>J163</f>
        <v>0</v>
      </c>
    </row>
    <row r="178" spans="1:10" s="55" customFormat="1" ht="17.100000000000001" hidden="1" customHeight="1">
      <c r="A178" s="50" t="e">
        <f t="shared" si="6"/>
        <v>#REF!</v>
      </c>
      <c r="B178" s="51"/>
      <c r="C178" s="170" t="s">
        <v>556</v>
      </c>
      <c r="D178" s="171" t="s">
        <v>136</v>
      </c>
      <c r="E178" s="172" t="s">
        <v>205</v>
      </c>
      <c r="F178" s="53"/>
      <c r="G178" s="117"/>
      <c r="H178" s="173" t="e">
        <f>ROUND(H164+H172+H175,5)</f>
        <v>#REF!</v>
      </c>
      <c r="I178" s="114"/>
      <c r="J178" s="110">
        <f>J163</f>
        <v>0</v>
      </c>
    </row>
    <row r="179" spans="1:10" s="55" customFormat="1" ht="17.100000000000001" hidden="1" customHeight="1">
      <c r="A179" s="50" t="e">
        <f t="shared" si="6"/>
        <v>#REF!</v>
      </c>
      <c r="B179" s="51"/>
      <c r="C179" s="170" t="s">
        <v>557</v>
      </c>
      <c r="D179" s="171" t="s">
        <v>204</v>
      </c>
      <c r="E179" s="172" t="s">
        <v>558</v>
      </c>
      <c r="F179" s="53"/>
      <c r="G179" s="117"/>
      <c r="H179" s="173" t="e">
        <f>SUM(H180:H181)</f>
        <v>#REF!</v>
      </c>
      <c r="I179" s="114"/>
      <c r="J179" s="110">
        <f>J163</f>
        <v>0</v>
      </c>
    </row>
    <row r="180" spans="1:10" s="55" customFormat="1" ht="17.100000000000001" hidden="1" customHeight="1">
      <c r="A180" s="50" t="e">
        <f t="shared" si="6"/>
        <v>#REF!</v>
      </c>
      <c r="B180" s="51"/>
      <c r="C180" s="51" t="s">
        <v>426</v>
      </c>
      <c r="D180" s="52" t="s">
        <v>559</v>
      </c>
      <c r="E180" s="116">
        <f>cpc</f>
        <v>0.7</v>
      </c>
      <c r="F180" s="174"/>
      <c r="G180" s="175"/>
      <c r="H180" s="54" t="e">
        <f>E180*H172</f>
        <v>#REF!</v>
      </c>
      <c r="I180" s="114"/>
      <c r="J180" s="110">
        <f>J163</f>
        <v>0</v>
      </c>
    </row>
    <row r="181" spans="1:10" s="55" customFormat="1" ht="17.100000000000001" hidden="1" customHeight="1">
      <c r="A181" s="50" t="e">
        <f t="shared" si="6"/>
        <v>#REF!</v>
      </c>
      <c r="B181" s="51"/>
      <c r="C181" s="78" t="s">
        <v>560</v>
      </c>
      <c r="D181" s="79" t="s">
        <v>561</v>
      </c>
      <c r="E181" s="176">
        <f>hmc</f>
        <v>0.05</v>
      </c>
      <c r="F181" s="53"/>
      <c r="G181" s="113"/>
      <c r="H181" s="54" t="e">
        <f>E181*H178</f>
        <v>#REF!</v>
      </c>
      <c r="I181" s="114"/>
      <c r="J181" s="110">
        <f>J163</f>
        <v>0</v>
      </c>
    </row>
    <row r="182" spans="1:10" s="55" customFormat="1" ht="17.100000000000001" hidden="1" customHeight="1">
      <c r="A182" s="50" t="e">
        <f t="shared" si="6"/>
        <v>#REF!</v>
      </c>
      <c r="B182" s="51"/>
      <c r="C182" s="170" t="s">
        <v>562</v>
      </c>
      <c r="D182" s="171" t="s">
        <v>563</v>
      </c>
      <c r="E182" s="179">
        <f>tn</f>
        <v>0.06</v>
      </c>
      <c r="F182" s="177"/>
      <c r="G182" s="178"/>
      <c r="H182" s="181" t="e">
        <f>SUM(H178:H179)*E182</f>
        <v>#REF!</v>
      </c>
      <c r="I182" s="114"/>
      <c r="J182" s="110">
        <f>J163</f>
        <v>0</v>
      </c>
    </row>
    <row r="183" spans="1:10" s="55" customFormat="1" ht="17.100000000000001" hidden="1" customHeight="1">
      <c r="A183" s="50" t="e">
        <f t="shared" si="6"/>
        <v>#REF!</v>
      </c>
      <c r="B183" s="51"/>
      <c r="C183" s="92" t="s">
        <v>1879</v>
      </c>
      <c r="D183" s="171" t="s">
        <v>227</v>
      </c>
      <c r="E183" s="180" t="s">
        <v>564</v>
      </c>
      <c r="F183" s="174"/>
      <c r="G183" s="175"/>
      <c r="H183" s="173" t="e">
        <f>SUM(H184:H185)</f>
        <v>#REF!</v>
      </c>
      <c r="I183" s="114"/>
      <c r="J183" s="110">
        <f>J163</f>
        <v>0</v>
      </c>
    </row>
    <row r="184" spans="1:10" s="55" customFormat="1" ht="17.100000000000001" hidden="1" customHeight="1">
      <c r="A184" s="50" t="e">
        <f t="shared" si="6"/>
        <v>#REF!</v>
      </c>
      <c r="B184" s="51"/>
      <c r="C184" s="51" t="s">
        <v>427</v>
      </c>
      <c r="D184" s="52" t="s">
        <v>428</v>
      </c>
      <c r="E184" s="1093">
        <f>paks</f>
        <v>0</v>
      </c>
      <c r="F184" s="174"/>
      <c r="G184" s="175"/>
      <c r="H184" s="54" t="e">
        <f>(H178+H179+H182)*E184</f>
        <v>#REF!</v>
      </c>
      <c r="I184" s="114"/>
      <c r="J184" s="715">
        <f>J163</f>
        <v>0</v>
      </c>
    </row>
    <row r="185" spans="1:10" s="55" customFormat="1" ht="17.100000000000001" hidden="1" customHeight="1">
      <c r="A185" s="50" t="e">
        <f t="shared" si="6"/>
        <v>#REF!</v>
      </c>
      <c r="B185" s="51"/>
      <c r="C185" s="51" t="s">
        <v>429</v>
      </c>
      <c r="D185" s="52" t="s">
        <v>430</v>
      </c>
      <c r="E185" s="1093">
        <f>bcks</f>
        <v>0.03</v>
      </c>
      <c r="F185" s="53"/>
      <c r="G185" s="113"/>
      <c r="H185" s="54" t="e">
        <f>(H178+H179+H182)*E185</f>
        <v>#REF!</v>
      </c>
      <c r="I185" s="114"/>
      <c r="J185" s="715">
        <f>J163</f>
        <v>0</v>
      </c>
    </row>
    <row r="186" spans="1:10" s="55" customFormat="1" ht="17.100000000000001" hidden="1" customHeight="1">
      <c r="A186" s="50" t="e">
        <f t="shared" si="6"/>
        <v>#REF!</v>
      </c>
      <c r="B186" s="51"/>
      <c r="C186" s="170" t="s">
        <v>565</v>
      </c>
      <c r="D186" s="171" t="s">
        <v>218</v>
      </c>
      <c r="E186" s="172" t="s">
        <v>566</v>
      </c>
      <c r="F186" s="53"/>
      <c r="G186" s="113"/>
      <c r="H186" s="173" t="e">
        <f>H178+H179+H182+H183</f>
        <v>#REF!</v>
      </c>
      <c r="I186" s="114"/>
      <c r="J186" s="715">
        <f>J163</f>
        <v>0</v>
      </c>
    </row>
    <row r="187" spans="1:10" s="55" customFormat="1" ht="17.100000000000001" hidden="1" customHeight="1">
      <c r="A187" s="50" t="e">
        <f t="shared" si="6"/>
        <v>#REF!</v>
      </c>
      <c r="B187" s="51"/>
      <c r="C187" s="51" t="s">
        <v>567</v>
      </c>
      <c r="D187" s="52" t="s">
        <v>222</v>
      </c>
      <c r="E187" s="112" t="s">
        <v>1917</v>
      </c>
      <c r="F187" s="174"/>
      <c r="G187" s="175"/>
      <c r="H187" s="54" t="e">
        <f>ROUND(H186*10/100,5)</f>
        <v>#REF!</v>
      </c>
      <c r="I187" s="114"/>
      <c r="J187" s="715">
        <f>J163</f>
        <v>0</v>
      </c>
    </row>
    <row r="188" spans="1:10" s="55" customFormat="1" ht="17.100000000000001" hidden="1" customHeight="1">
      <c r="A188" s="50" t="e">
        <f t="shared" si="6"/>
        <v>#REF!</v>
      </c>
      <c r="B188" s="51"/>
      <c r="C188" s="170" t="s">
        <v>568</v>
      </c>
      <c r="D188" s="171" t="s">
        <v>225</v>
      </c>
      <c r="E188" s="172" t="s">
        <v>192</v>
      </c>
      <c r="F188" s="53"/>
      <c r="G188" s="117"/>
      <c r="H188" s="56" t="e">
        <f>ROUND(H186+H187,5)</f>
        <v>#REF!</v>
      </c>
      <c r="I188" s="115"/>
      <c r="J188" s="715">
        <f>J163</f>
        <v>0</v>
      </c>
    </row>
    <row r="189" spans="1:10" s="263" customFormat="1" ht="17.100000000000001" hidden="1" customHeight="1">
      <c r="A189" s="264" t="e">
        <f t="shared" si="6"/>
        <v>#REF!</v>
      </c>
      <c r="B189" s="265" t="s">
        <v>351</v>
      </c>
      <c r="C189" s="265" t="s">
        <v>352</v>
      </c>
      <c r="D189" s="266" t="s">
        <v>345</v>
      </c>
      <c r="E189" s="270"/>
      <c r="F189" s="267"/>
      <c r="G189" s="271"/>
      <c r="H189" s="268" t="e">
        <f>H214</f>
        <v>#REF!</v>
      </c>
      <c r="I189" s="272"/>
      <c r="J189" s="273">
        <f>IF(SUMIF(Khaosat!$B$6:$B$47,'PT giaKS'!B189,Khaosat!$I$6:$I$47)&lt;&gt;0,$J$6,0)</f>
        <v>0</v>
      </c>
    </row>
    <row r="190" spans="1:10" s="55" customFormat="1" ht="17.100000000000001" hidden="1" customHeight="1">
      <c r="A190" s="50" t="e">
        <f t="shared" si="6"/>
        <v>#REF!</v>
      </c>
      <c r="B190" s="51"/>
      <c r="C190" s="51" t="s">
        <v>128</v>
      </c>
      <c r="D190" s="52" t="s">
        <v>0</v>
      </c>
      <c r="E190" s="112"/>
      <c r="F190" s="53"/>
      <c r="G190" s="117"/>
      <c r="H190" s="56">
        <f>ROUND(SUM(H191:H197),5)</f>
        <v>39294.42</v>
      </c>
      <c r="I190" s="115"/>
      <c r="J190" s="110">
        <f>J189</f>
        <v>0</v>
      </c>
    </row>
    <row r="191" spans="1:10" s="55" customFormat="1" ht="17.100000000000001" hidden="1" customHeight="1">
      <c r="A191" s="50" t="e">
        <f t="shared" si="6"/>
        <v>#REF!</v>
      </c>
      <c r="B191" s="51"/>
      <c r="C191" s="51" t="s">
        <v>431</v>
      </c>
      <c r="D191" s="52" t="s">
        <v>26</v>
      </c>
      <c r="E191" s="112">
        <f>13</f>
        <v>13</v>
      </c>
      <c r="F191" s="53">
        <f>ROUND(VLKS!Q53/1000,5)</f>
        <v>1200</v>
      </c>
      <c r="G191" s="117">
        <f t="shared" ref="G191:G196" si="11">hsvl</f>
        <v>1</v>
      </c>
      <c r="H191" s="54">
        <f t="shared" ref="H191:H196" si="12">ROUND(E191*F191*G191,5)</f>
        <v>15600</v>
      </c>
      <c r="I191" s="114"/>
      <c r="J191" s="110">
        <f>J189</f>
        <v>0</v>
      </c>
    </row>
    <row r="192" spans="1:10" s="55" customFormat="1" ht="17.100000000000001" hidden="1" customHeight="1">
      <c r="A192" s="50" t="e">
        <f t="shared" si="6"/>
        <v>#REF!</v>
      </c>
      <c r="B192" s="51"/>
      <c r="C192" s="51" t="s">
        <v>28</v>
      </c>
      <c r="D192" s="52" t="s">
        <v>7</v>
      </c>
      <c r="E192" s="112">
        <f>0.04</f>
        <v>0.04</v>
      </c>
      <c r="F192" s="53">
        <f>VLKS!Q59</f>
        <v>250000</v>
      </c>
      <c r="G192" s="117">
        <f t="shared" si="11"/>
        <v>1</v>
      </c>
      <c r="H192" s="54">
        <f t="shared" si="12"/>
        <v>10000</v>
      </c>
      <c r="I192" s="114"/>
      <c r="J192" s="110">
        <f>J189</f>
        <v>0</v>
      </c>
    </row>
    <row r="193" spans="1:10" s="55" customFormat="1" ht="17.100000000000001" hidden="1" customHeight="1">
      <c r="A193" s="50" t="e">
        <f t="shared" si="6"/>
        <v>#REF!</v>
      </c>
      <c r="B193" s="51"/>
      <c r="C193" s="51" t="s">
        <v>27</v>
      </c>
      <c r="D193" s="52" t="s">
        <v>7</v>
      </c>
      <c r="E193" s="112">
        <f>0.026</f>
        <v>2.5999999999999999E-2</v>
      </c>
      <c r="F193" s="53">
        <f>VLKS!Q21</f>
        <v>70000</v>
      </c>
      <c r="G193" s="117">
        <f t="shared" si="11"/>
        <v>1</v>
      </c>
      <c r="H193" s="54">
        <f t="shared" si="12"/>
        <v>1820</v>
      </c>
      <c r="I193" s="114"/>
      <c r="J193" s="110">
        <f>J189</f>
        <v>0</v>
      </c>
    </row>
    <row r="194" spans="1:10" s="55" customFormat="1" ht="17.100000000000001" hidden="1" customHeight="1">
      <c r="A194" s="50" t="e">
        <f t="shared" si="6"/>
        <v>#REF!</v>
      </c>
      <c r="B194" s="51"/>
      <c r="C194" s="51" t="s">
        <v>432</v>
      </c>
      <c r="D194" s="52" t="s">
        <v>26</v>
      </c>
      <c r="E194" s="112">
        <f>0.1</f>
        <v>0.1</v>
      </c>
      <c r="F194" s="53">
        <f>ROUND(VLKS!Q56/1000,5)</f>
        <v>17272</v>
      </c>
      <c r="G194" s="117">
        <f t="shared" si="11"/>
        <v>1</v>
      </c>
      <c r="H194" s="54">
        <f t="shared" si="12"/>
        <v>1727.2</v>
      </c>
      <c r="I194" s="114"/>
      <c r="J194" s="110">
        <f>J189</f>
        <v>0</v>
      </c>
    </row>
    <row r="195" spans="1:10" s="55" customFormat="1" ht="17.100000000000001" hidden="1" customHeight="1">
      <c r="A195" s="50" t="e">
        <f t="shared" si="6"/>
        <v>#REF!</v>
      </c>
      <c r="B195" s="51"/>
      <c r="C195" s="51" t="s">
        <v>433</v>
      </c>
      <c r="D195" s="52" t="s">
        <v>26</v>
      </c>
      <c r="E195" s="112">
        <f>0.05</f>
        <v>0.05</v>
      </c>
      <c r="F195" s="53">
        <f>ROUND(VLKS!Q50/1000,5)</f>
        <v>51500</v>
      </c>
      <c r="G195" s="117">
        <f t="shared" si="11"/>
        <v>1</v>
      </c>
      <c r="H195" s="54">
        <f t="shared" si="12"/>
        <v>2575</v>
      </c>
      <c r="I195" s="114"/>
      <c r="J195" s="110">
        <f>J189</f>
        <v>0</v>
      </c>
    </row>
    <row r="196" spans="1:10" s="55" customFormat="1" ht="17.100000000000001" hidden="1" customHeight="1">
      <c r="A196" s="50" t="e">
        <f t="shared" si="6"/>
        <v>#REF!</v>
      </c>
      <c r="B196" s="51"/>
      <c r="C196" s="51" t="s">
        <v>421</v>
      </c>
      <c r="D196" s="52" t="s">
        <v>422</v>
      </c>
      <c r="E196" s="112">
        <f>0.5</f>
        <v>0.5</v>
      </c>
      <c r="F196" s="53">
        <f>VLKS!Q51</f>
        <v>8000</v>
      </c>
      <c r="G196" s="117">
        <f t="shared" si="11"/>
        <v>1</v>
      </c>
      <c r="H196" s="54">
        <f t="shared" si="12"/>
        <v>4000</v>
      </c>
      <c r="I196" s="114"/>
      <c r="J196" s="110">
        <f>J189</f>
        <v>0</v>
      </c>
    </row>
    <row r="197" spans="1:10" s="55" customFormat="1" ht="17.100000000000001" hidden="1" customHeight="1">
      <c r="A197" s="50" t="e">
        <f t="shared" si="6"/>
        <v>#REF!</v>
      </c>
      <c r="B197" s="51"/>
      <c r="C197" s="51" t="s">
        <v>127</v>
      </c>
      <c r="D197" s="52" t="s">
        <v>126</v>
      </c>
      <c r="E197" s="112">
        <f>10</f>
        <v>10</v>
      </c>
      <c r="F197" s="53"/>
      <c r="G197" s="117"/>
      <c r="H197" s="54">
        <f>ROUND(SUM(H191:H196)*E197/100,5)</f>
        <v>3572.22</v>
      </c>
      <c r="I197" s="114"/>
      <c r="J197" s="110">
        <f>J189</f>
        <v>0</v>
      </c>
    </row>
    <row r="198" spans="1:10" s="55" customFormat="1" ht="17.100000000000001" hidden="1" customHeight="1">
      <c r="A198" s="50" t="e">
        <f t="shared" si="6"/>
        <v>#REF!</v>
      </c>
      <c r="B198" s="51"/>
      <c r="C198" s="51" t="s">
        <v>125</v>
      </c>
      <c r="D198" s="52" t="s">
        <v>0</v>
      </c>
      <c r="E198" s="112"/>
      <c r="F198" s="53"/>
      <c r="G198" s="117"/>
      <c r="H198" s="56" t="e">
        <f>ROUND(SUM(H199:H200),5)</f>
        <v>#REF!</v>
      </c>
      <c r="I198" s="115"/>
      <c r="J198" s="110">
        <f>J189</f>
        <v>0</v>
      </c>
    </row>
    <row r="199" spans="1:10" s="55" customFormat="1" ht="17.100000000000001" hidden="1" customHeight="1">
      <c r="A199" s="50" t="e">
        <f t="shared" si="6"/>
        <v>#REF!</v>
      </c>
      <c r="B199" s="51"/>
      <c r="C199" s="51" t="s">
        <v>423</v>
      </c>
      <c r="D199" s="52" t="s">
        <v>3</v>
      </c>
      <c r="E199" s="112">
        <f>1.44</f>
        <v>1.44</v>
      </c>
      <c r="F199" s="53" t="e">
        <f>'NC,M KS'!P4</f>
        <v>#REF!</v>
      </c>
      <c r="G199" s="117">
        <f>hsnc</f>
        <v>1</v>
      </c>
      <c r="H199" s="54" t="e">
        <f>ROUND(E199*F199*G199,5)</f>
        <v>#REF!</v>
      </c>
      <c r="I199" s="114"/>
      <c r="J199" s="110">
        <f>J189</f>
        <v>0</v>
      </c>
    </row>
    <row r="200" spans="1:10" s="55" customFormat="1" ht="17.100000000000001" hidden="1" customHeight="1">
      <c r="A200" s="50" t="e">
        <f t="shared" si="6"/>
        <v>#REF!</v>
      </c>
      <c r="B200" s="51"/>
      <c r="C200" s="51" t="s">
        <v>424</v>
      </c>
      <c r="D200" s="52" t="s">
        <v>3</v>
      </c>
      <c r="E200" s="112">
        <f>3.7</f>
        <v>3.7</v>
      </c>
      <c r="F200" s="53" t="e">
        <f>'NC,M KS'!P6</f>
        <v>#REF!</v>
      </c>
      <c r="G200" s="117">
        <f>hsnc</f>
        <v>1</v>
      </c>
      <c r="H200" s="54" t="e">
        <f>ROUND(E200*F200*G200,5)</f>
        <v>#REF!</v>
      </c>
      <c r="I200" s="114"/>
      <c r="J200" s="110">
        <f>J189</f>
        <v>0</v>
      </c>
    </row>
    <row r="201" spans="1:10" s="55" customFormat="1" ht="17.100000000000001" hidden="1" customHeight="1">
      <c r="A201" s="50" t="e">
        <f t="shared" ref="A201:A264" si="13">IF(B201&lt;&gt;0,A200+J201,A200)</f>
        <v>#REF!</v>
      </c>
      <c r="B201" s="51"/>
      <c r="C201" s="51" t="s">
        <v>124</v>
      </c>
      <c r="D201" s="52" t="s">
        <v>0</v>
      </c>
      <c r="E201" s="112"/>
      <c r="F201" s="53"/>
      <c r="G201" s="117"/>
      <c r="H201" s="56">
        <f>ROUND(SUM(H202:H203),5)</f>
        <v>40441.5</v>
      </c>
      <c r="I201" s="115"/>
      <c r="J201" s="110">
        <f>J189</f>
        <v>0</v>
      </c>
    </row>
    <row r="202" spans="1:10" s="55" customFormat="1" ht="17.100000000000001" hidden="1" customHeight="1">
      <c r="A202" s="50" t="e">
        <f t="shared" si="13"/>
        <v>#REF!</v>
      </c>
      <c r="B202" s="51"/>
      <c r="C202" s="51" t="s">
        <v>436</v>
      </c>
      <c r="D202" s="52" t="s">
        <v>4</v>
      </c>
      <c r="E202" s="112">
        <f>0.25</f>
        <v>0.25</v>
      </c>
      <c r="F202" s="53">
        <f>'NC,M KS'!P28</f>
        <v>147060</v>
      </c>
      <c r="G202" s="117">
        <f>hsm</f>
        <v>1</v>
      </c>
      <c r="H202" s="54">
        <f>ROUND(E202*F202*G202,5)</f>
        <v>36765</v>
      </c>
      <c r="I202" s="114"/>
      <c r="J202" s="110">
        <f>J189</f>
        <v>0</v>
      </c>
    </row>
    <row r="203" spans="1:10" s="55" customFormat="1" ht="17.100000000000001" hidden="1" customHeight="1">
      <c r="A203" s="50" t="e">
        <f t="shared" si="13"/>
        <v>#REF!</v>
      </c>
      <c r="B203" s="51"/>
      <c r="C203" s="51" t="s">
        <v>130</v>
      </c>
      <c r="D203" s="52" t="s">
        <v>126</v>
      </c>
      <c r="E203" s="112">
        <f>10</f>
        <v>10</v>
      </c>
      <c r="F203" s="53"/>
      <c r="G203" s="117"/>
      <c r="H203" s="54">
        <f>ROUND(SUM(H202:H202)*E203/100,5)</f>
        <v>3676.5</v>
      </c>
      <c r="I203" s="114"/>
      <c r="J203" s="110">
        <f>J189</f>
        <v>0</v>
      </c>
    </row>
    <row r="204" spans="1:10" s="55" customFormat="1" ht="17.100000000000001" hidden="1" customHeight="1">
      <c r="A204" s="50" t="e">
        <f t="shared" si="13"/>
        <v>#REF!</v>
      </c>
      <c r="B204" s="51"/>
      <c r="C204" s="170" t="s">
        <v>556</v>
      </c>
      <c r="D204" s="171" t="s">
        <v>136</v>
      </c>
      <c r="E204" s="172" t="s">
        <v>205</v>
      </c>
      <c r="F204" s="53"/>
      <c r="G204" s="117"/>
      <c r="H204" s="173" t="e">
        <f>ROUND(H190+H198+H201,5)</f>
        <v>#REF!</v>
      </c>
      <c r="I204" s="114"/>
      <c r="J204" s="110">
        <f>J189</f>
        <v>0</v>
      </c>
    </row>
    <row r="205" spans="1:10" s="55" customFormat="1" ht="17.100000000000001" hidden="1" customHeight="1">
      <c r="A205" s="50" t="e">
        <f t="shared" si="13"/>
        <v>#REF!</v>
      </c>
      <c r="B205" s="51"/>
      <c r="C205" s="170" t="s">
        <v>557</v>
      </c>
      <c r="D205" s="171" t="s">
        <v>204</v>
      </c>
      <c r="E205" s="172" t="s">
        <v>558</v>
      </c>
      <c r="F205" s="53"/>
      <c r="G205" s="117"/>
      <c r="H205" s="173" t="e">
        <f>SUM(H206:H207)</f>
        <v>#REF!</v>
      </c>
      <c r="I205" s="114"/>
      <c r="J205" s="110">
        <f>J189</f>
        <v>0</v>
      </c>
    </row>
    <row r="206" spans="1:10" s="55" customFormat="1" ht="17.100000000000001" hidden="1" customHeight="1">
      <c r="A206" s="50" t="e">
        <f t="shared" si="13"/>
        <v>#REF!</v>
      </c>
      <c r="B206" s="51"/>
      <c r="C206" s="51" t="s">
        <v>426</v>
      </c>
      <c r="D206" s="52" t="s">
        <v>559</v>
      </c>
      <c r="E206" s="116">
        <f>cpc</f>
        <v>0.7</v>
      </c>
      <c r="F206" s="174"/>
      <c r="G206" s="175"/>
      <c r="H206" s="54" t="e">
        <f>E206*H198</f>
        <v>#REF!</v>
      </c>
      <c r="I206" s="114"/>
      <c r="J206" s="110">
        <f>J189</f>
        <v>0</v>
      </c>
    </row>
    <row r="207" spans="1:10" s="55" customFormat="1" ht="17.100000000000001" hidden="1" customHeight="1">
      <c r="A207" s="50" t="e">
        <f t="shared" si="13"/>
        <v>#REF!</v>
      </c>
      <c r="B207" s="51"/>
      <c r="C207" s="78" t="s">
        <v>560</v>
      </c>
      <c r="D207" s="79" t="s">
        <v>561</v>
      </c>
      <c r="E207" s="176">
        <f>hmc</f>
        <v>0.05</v>
      </c>
      <c r="F207" s="53"/>
      <c r="G207" s="113"/>
      <c r="H207" s="54" t="e">
        <f>E207*H204</f>
        <v>#REF!</v>
      </c>
      <c r="I207" s="114"/>
      <c r="J207" s="110">
        <f>J189</f>
        <v>0</v>
      </c>
    </row>
    <row r="208" spans="1:10" s="55" customFormat="1" ht="17.100000000000001" hidden="1" customHeight="1">
      <c r="A208" s="50" t="e">
        <f t="shared" si="13"/>
        <v>#REF!</v>
      </c>
      <c r="B208" s="51"/>
      <c r="C208" s="170" t="s">
        <v>562</v>
      </c>
      <c r="D208" s="171" t="s">
        <v>563</v>
      </c>
      <c r="E208" s="179">
        <f>tn</f>
        <v>0.06</v>
      </c>
      <c r="F208" s="177"/>
      <c r="G208" s="178"/>
      <c r="H208" s="181" t="e">
        <f>SUM(H204:H205)*E208</f>
        <v>#REF!</v>
      </c>
      <c r="I208" s="114"/>
      <c r="J208" s="110">
        <f>J189</f>
        <v>0</v>
      </c>
    </row>
    <row r="209" spans="1:10" s="55" customFormat="1" ht="17.100000000000001" hidden="1" customHeight="1">
      <c r="A209" s="50" t="e">
        <f t="shared" si="13"/>
        <v>#REF!</v>
      </c>
      <c r="B209" s="51"/>
      <c r="C209" s="92" t="s">
        <v>1879</v>
      </c>
      <c r="D209" s="171" t="s">
        <v>227</v>
      </c>
      <c r="E209" s="180" t="s">
        <v>564</v>
      </c>
      <c r="F209" s="174"/>
      <c r="G209" s="175"/>
      <c r="H209" s="173" t="e">
        <f>SUM(H210:H211)</f>
        <v>#REF!</v>
      </c>
      <c r="I209" s="114"/>
      <c r="J209" s="110">
        <f>J189</f>
        <v>0</v>
      </c>
    </row>
    <row r="210" spans="1:10" s="55" customFormat="1" ht="17.100000000000001" hidden="1" customHeight="1">
      <c r="A210" s="50" t="e">
        <f t="shared" si="13"/>
        <v>#REF!</v>
      </c>
      <c r="B210" s="51"/>
      <c r="C210" s="51" t="s">
        <v>427</v>
      </c>
      <c r="D210" s="52" t="s">
        <v>428</v>
      </c>
      <c r="E210" s="1093">
        <f>paks</f>
        <v>0</v>
      </c>
      <c r="F210" s="174"/>
      <c r="G210" s="175"/>
      <c r="H210" s="54" t="e">
        <f>(H204+H205+H208)*E210</f>
        <v>#REF!</v>
      </c>
      <c r="I210" s="114"/>
      <c r="J210" s="715">
        <f>J189</f>
        <v>0</v>
      </c>
    </row>
    <row r="211" spans="1:10" s="55" customFormat="1" ht="17.100000000000001" hidden="1" customHeight="1">
      <c r="A211" s="50" t="e">
        <f t="shared" si="13"/>
        <v>#REF!</v>
      </c>
      <c r="B211" s="51"/>
      <c r="C211" s="51" t="s">
        <v>429</v>
      </c>
      <c r="D211" s="52" t="s">
        <v>430</v>
      </c>
      <c r="E211" s="1093">
        <f>bcks</f>
        <v>0.03</v>
      </c>
      <c r="F211" s="53"/>
      <c r="G211" s="113"/>
      <c r="H211" s="54" t="e">
        <f>(H204+H205+H208)*E211</f>
        <v>#REF!</v>
      </c>
      <c r="I211" s="114"/>
      <c r="J211" s="715">
        <f>J189</f>
        <v>0</v>
      </c>
    </row>
    <row r="212" spans="1:10" s="55" customFormat="1" ht="17.100000000000001" hidden="1" customHeight="1">
      <c r="A212" s="50" t="e">
        <f t="shared" si="13"/>
        <v>#REF!</v>
      </c>
      <c r="B212" s="51"/>
      <c r="C212" s="170" t="s">
        <v>565</v>
      </c>
      <c r="D212" s="171" t="s">
        <v>218</v>
      </c>
      <c r="E212" s="172" t="s">
        <v>566</v>
      </c>
      <c r="F212" s="53"/>
      <c r="G212" s="113"/>
      <c r="H212" s="173" t="e">
        <f>H204+H205+H208+H209</f>
        <v>#REF!</v>
      </c>
      <c r="I212" s="114"/>
      <c r="J212" s="715">
        <f>J189</f>
        <v>0</v>
      </c>
    </row>
    <row r="213" spans="1:10" s="55" customFormat="1" ht="17.100000000000001" hidden="1" customHeight="1">
      <c r="A213" s="50" t="e">
        <f t="shared" si="13"/>
        <v>#REF!</v>
      </c>
      <c r="B213" s="51"/>
      <c r="C213" s="51" t="s">
        <v>567</v>
      </c>
      <c r="D213" s="52" t="s">
        <v>222</v>
      </c>
      <c r="E213" s="112" t="s">
        <v>1917</v>
      </c>
      <c r="F213" s="174"/>
      <c r="G213" s="175"/>
      <c r="H213" s="54" t="e">
        <f>ROUND(H212*10/100,5)</f>
        <v>#REF!</v>
      </c>
      <c r="I213" s="114"/>
      <c r="J213" s="715">
        <f>J189</f>
        <v>0</v>
      </c>
    </row>
    <row r="214" spans="1:10" s="55" customFormat="1" ht="17.100000000000001" hidden="1" customHeight="1">
      <c r="A214" s="50" t="e">
        <f t="shared" si="13"/>
        <v>#REF!</v>
      </c>
      <c r="B214" s="51"/>
      <c r="C214" s="170" t="s">
        <v>568</v>
      </c>
      <c r="D214" s="171" t="s">
        <v>225</v>
      </c>
      <c r="E214" s="172" t="s">
        <v>192</v>
      </c>
      <c r="F214" s="53"/>
      <c r="G214" s="117"/>
      <c r="H214" s="56" t="e">
        <f>ROUND(H212+H213,5)</f>
        <v>#REF!</v>
      </c>
      <c r="I214" s="115"/>
      <c r="J214" s="715">
        <f>J189</f>
        <v>0</v>
      </c>
    </row>
    <row r="215" spans="1:10" s="263" customFormat="1" ht="17.100000000000001" hidden="1" customHeight="1">
      <c r="A215" s="264" t="e">
        <f t="shared" si="13"/>
        <v>#REF!</v>
      </c>
      <c r="B215" s="265" t="s">
        <v>307</v>
      </c>
      <c r="C215" s="265" t="s">
        <v>354</v>
      </c>
      <c r="D215" s="266" t="s">
        <v>1792</v>
      </c>
      <c r="E215" s="270"/>
      <c r="F215" s="267"/>
      <c r="G215" s="271"/>
      <c r="H215" s="268" t="e">
        <f>H238</f>
        <v>#REF!</v>
      </c>
      <c r="I215" s="272"/>
      <c r="J215" s="273">
        <f>IF(SUMIF(Khaosat!$B$6:$B$47,'PT giaKS'!B215,Khaosat!$I$6:$I$47)&lt;&gt;0,$J$6,0)</f>
        <v>0</v>
      </c>
    </row>
    <row r="216" spans="1:10" s="55" customFormat="1" ht="17.100000000000001" hidden="1" customHeight="1">
      <c r="A216" s="295" t="e">
        <f t="shared" si="13"/>
        <v>#REF!</v>
      </c>
      <c r="B216" s="51"/>
      <c r="C216" s="51" t="s">
        <v>437</v>
      </c>
      <c r="D216" s="52" t="s">
        <v>0</v>
      </c>
      <c r="E216" s="112"/>
      <c r="F216" s="53"/>
      <c r="G216" s="117"/>
      <c r="H216" s="54"/>
      <c r="I216" s="114"/>
      <c r="J216" s="110">
        <f>J215</f>
        <v>0</v>
      </c>
    </row>
    <row r="217" spans="1:10" s="55" customFormat="1" ht="17.100000000000001" hidden="1" customHeight="1">
      <c r="A217" s="295" t="e">
        <f t="shared" si="13"/>
        <v>#REF!</v>
      </c>
      <c r="B217" s="51"/>
      <c r="C217" s="51" t="s">
        <v>128</v>
      </c>
      <c r="D217" s="52" t="s">
        <v>0</v>
      </c>
      <c r="E217" s="112"/>
      <c r="F217" s="53"/>
      <c r="G217" s="117"/>
      <c r="H217" s="56">
        <f>ROUND(SUM(H218:H220),5)</f>
        <v>385250</v>
      </c>
      <c r="I217" s="115"/>
      <c r="J217" s="110">
        <f>J215</f>
        <v>0</v>
      </c>
    </row>
    <row r="218" spans="1:10" s="55" customFormat="1" ht="17.100000000000001" hidden="1" customHeight="1">
      <c r="A218" s="295" t="e">
        <f t="shared" si="13"/>
        <v>#REF!</v>
      </c>
      <c r="B218" s="51"/>
      <c r="C218" s="51" t="s">
        <v>438</v>
      </c>
      <c r="D218" s="52" t="s">
        <v>439</v>
      </c>
      <c r="E218" s="112">
        <f>0.35*100</f>
        <v>35</v>
      </c>
      <c r="F218" s="53">
        <f>VLKS!Q22</f>
        <v>5000</v>
      </c>
      <c r="G218" s="117">
        <f>hsvl</f>
        <v>1</v>
      </c>
      <c r="H218" s="54">
        <f>ROUND(E218*F218*G218,5)</f>
        <v>175000</v>
      </c>
      <c r="I218" s="114"/>
      <c r="J218" s="110">
        <f>J215</f>
        <v>0</v>
      </c>
    </row>
    <row r="219" spans="1:10" s="55" customFormat="1" ht="17.100000000000001" hidden="1" customHeight="1">
      <c r="A219" s="295" t="e">
        <f t="shared" si="13"/>
        <v>#REF!</v>
      </c>
      <c r="B219" s="51"/>
      <c r="C219" s="51" t="s">
        <v>421</v>
      </c>
      <c r="D219" s="52" t="s">
        <v>422</v>
      </c>
      <c r="E219" s="112">
        <f>0.2*100</f>
        <v>20</v>
      </c>
      <c r="F219" s="53">
        <f>VLKS!Q51</f>
        <v>8000</v>
      </c>
      <c r="G219" s="117">
        <f>hsvl</f>
        <v>1</v>
      </c>
      <c r="H219" s="54">
        <f>ROUND(E219*F219*G219,5)</f>
        <v>160000</v>
      </c>
      <c r="I219" s="114"/>
      <c r="J219" s="110">
        <f>J215</f>
        <v>0</v>
      </c>
    </row>
    <row r="220" spans="1:10" s="55" customFormat="1" ht="17.100000000000001" hidden="1" customHeight="1">
      <c r="A220" s="295" t="e">
        <f t="shared" si="13"/>
        <v>#REF!</v>
      </c>
      <c r="B220" s="51"/>
      <c r="C220" s="51" t="s">
        <v>127</v>
      </c>
      <c r="D220" s="52" t="s">
        <v>126</v>
      </c>
      <c r="E220" s="112">
        <f>15</f>
        <v>15</v>
      </c>
      <c r="F220" s="53"/>
      <c r="G220" s="117"/>
      <c r="H220" s="54">
        <f>ROUND(SUM(H218:H219)*E220/100,5)</f>
        <v>50250</v>
      </c>
      <c r="I220" s="114"/>
      <c r="J220" s="110">
        <f>J215</f>
        <v>0</v>
      </c>
    </row>
    <row r="221" spans="1:10" s="55" customFormat="1" ht="17.100000000000001" hidden="1" customHeight="1">
      <c r="A221" s="295" t="e">
        <f t="shared" si="13"/>
        <v>#REF!</v>
      </c>
      <c r="B221" s="51"/>
      <c r="C221" s="51" t="s">
        <v>125</v>
      </c>
      <c r="D221" s="52" t="s">
        <v>0</v>
      </c>
      <c r="E221" s="112"/>
      <c r="F221" s="53"/>
      <c r="G221" s="117"/>
      <c r="H221" s="56" t="e">
        <f>ROUND(SUM(H222:H223),5)</f>
        <v>#REF!</v>
      </c>
      <c r="I221" s="115"/>
      <c r="J221" s="110">
        <f>J215</f>
        <v>0</v>
      </c>
    </row>
    <row r="222" spans="1:10" s="55" customFormat="1" ht="17.100000000000001" hidden="1" customHeight="1">
      <c r="A222" s="295" t="e">
        <f t="shared" si="13"/>
        <v>#REF!</v>
      </c>
      <c r="B222" s="51"/>
      <c r="C222" s="51" t="s">
        <v>423</v>
      </c>
      <c r="D222" s="52" t="s">
        <v>3</v>
      </c>
      <c r="E222" s="112">
        <f>0.6304*100</f>
        <v>63.04</v>
      </c>
      <c r="F222" s="53" t="e">
        <f>'NC,M KS'!P4</f>
        <v>#REF!</v>
      </c>
      <c r="G222" s="117">
        <f>hsnc</f>
        <v>1</v>
      </c>
      <c r="H222" s="54" t="e">
        <f>ROUND(E222*F222*G222,5)</f>
        <v>#REF!</v>
      </c>
      <c r="I222" s="114"/>
      <c r="J222" s="110">
        <f>J215</f>
        <v>0</v>
      </c>
    </row>
    <row r="223" spans="1:10" s="55" customFormat="1" ht="17.100000000000001" hidden="1" customHeight="1">
      <c r="A223" s="295" t="e">
        <f t="shared" si="13"/>
        <v>#REF!</v>
      </c>
      <c r="B223" s="51"/>
      <c r="C223" s="51" t="s">
        <v>424</v>
      </c>
      <c r="D223" s="52" t="s">
        <v>3</v>
      </c>
      <c r="E223" s="112">
        <f>1.8548*100</f>
        <v>185.48</v>
      </c>
      <c r="F223" s="53" t="e">
        <f>'NC,M KS'!P6</f>
        <v>#REF!</v>
      </c>
      <c r="G223" s="117">
        <f>hsnc</f>
        <v>1</v>
      </c>
      <c r="H223" s="54" t="e">
        <f>ROUND(E223*F223*G223,5)</f>
        <v>#REF!</v>
      </c>
      <c r="I223" s="114"/>
      <c r="J223" s="110">
        <f>J215</f>
        <v>0</v>
      </c>
    </row>
    <row r="224" spans="1:10" s="55" customFormat="1" ht="17.100000000000001" hidden="1" customHeight="1">
      <c r="A224" s="295" t="e">
        <f t="shared" si="13"/>
        <v>#REF!</v>
      </c>
      <c r="B224" s="51"/>
      <c r="C224" s="51" t="s">
        <v>124</v>
      </c>
      <c r="D224" s="52" t="s">
        <v>0</v>
      </c>
      <c r="E224" s="112"/>
      <c r="F224" s="53"/>
      <c r="G224" s="117"/>
      <c r="H224" s="56">
        <f>ROUND(SUM(H225:H227),5)</f>
        <v>4783290.3360000001</v>
      </c>
      <c r="I224" s="115"/>
      <c r="J224" s="110">
        <f>J215</f>
        <v>0</v>
      </c>
    </row>
    <row r="225" spans="1:10" s="55" customFormat="1" ht="17.100000000000001" hidden="1" customHeight="1">
      <c r="A225" s="295" t="e">
        <f t="shared" si="13"/>
        <v>#REF!</v>
      </c>
      <c r="B225" s="51"/>
      <c r="C225" s="51" t="s">
        <v>436</v>
      </c>
      <c r="D225" s="52" t="s">
        <v>4</v>
      </c>
      <c r="E225" s="112">
        <f>0.2928*100</f>
        <v>29.28</v>
      </c>
      <c r="F225" s="53">
        <f>'NC,M KS'!P28</f>
        <v>147060</v>
      </c>
      <c r="G225" s="117">
        <f>hsm</f>
        <v>1</v>
      </c>
      <c r="H225" s="54">
        <f>ROUND(E225*F225*G225,5)</f>
        <v>4305916.8</v>
      </c>
      <c r="I225" s="114"/>
      <c r="J225" s="110">
        <f>J215</f>
        <v>0</v>
      </c>
    </row>
    <row r="226" spans="1:10" s="55" customFormat="1" ht="17.100000000000001" hidden="1" customHeight="1">
      <c r="A226" s="295" t="e">
        <f t="shared" si="13"/>
        <v>#REF!</v>
      </c>
      <c r="B226" s="51"/>
      <c r="C226" s="51" t="s">
        <v>425</v>
      </c>
      <c r="D226" s="52" t="s">
        <v>4</v>
      </c>
      <c r="E226" s="112">
        <f>0.0288*100</f>
        <v>2.88</v>
      </c>
      <c r="F226" s="53">
        <f>'NC,M KS'!P27</f>
        <v>14767</v>
      </c>
      <c r="G226" s="117">
        <f>hsm</f>
        <v>1</v>
      </c>
      <c r="H226" s="54">
        <f>ROUND(E226*F226*G226,5)</f>
        <v>42528.959999999999</v>
      </c>
      <c r="I226" s="114"/>
      <c r="J226" s="110">
        <f>J215</f>
        <v>0</v>
      </c>
    </row>
    <row r="227" spans="1:10" s="55" customFormat="1" ht="17.100000000000001" hidden="1" customHeight="1">
      <c r="A227" s="295" t="e">
        <f t="shared" si="13"/>
        <v>#REF!</v>
      </c>
      <c r="B227" s="51"/>
      <c r="C227" s="51" t="s">
        <v>130</v>
      </c>
      <c r="D227" s="52" t="s">
        <v>126</v>
      </c>
      <c r="E227" s="112">
        <f>10</f>
        <v>10</v>
      </c>
      <c r="F227" s="53"/>
      <c r="G227" s="117"/>
      <c r="H227" s="54">
        <f>ROUND(SUM(H225:H226)*E227/100,5)</f>
        <v>434844.576</v>
      </c>
      <c r="I227" s="114"/>
      <c r="J227" s="110">
        <f>J215</f>
        <v>0</v>
      </c>
    </row>
    <row r="228" spans="1:10" s="55" customFormat="1" ht="17.100000000000001" hidden="1" customHeight="1">
      <c r="A228" s="295" t="e">
        <f t="shared" si="13"/>
        <v>#REF!</v>
      </c>
      <c r="B228" s="51"/>
      <c r="C228" s="170" t="s">
        <v>556</v>
      </c>
      <c r="D228" s="171" t="s">
        <v>136</v>
      </c>
      <c r="E228" s="172" t="s">
        <v>205</v>
      </c>
      <c r="F228" s="53"/>
      <c r="G228" s="117"/>
      <c r="H228" s="173" t="e">
        <f>ROUND(H217+H221+H224,5)</f>
        <v>#REF!</v>
      </c>
      <c r="I228" s="114"/>
      <c r="J228" s="110">
        <f>J215</f>
        <v>0</v>
      </c>
    </row>
    <row r="229" spans="1:10" s="55" customFormat="1" ht="17.100000000000001" hidden="1" customHeight="1">
      <c r="A229" s="295" t="e">
        <f t="shared" si="13"/>
        <v>#REF!</v>
      </c>
      <c r="B229" s="51"/>
      <c r="C229" s="170" t="s">
        <v>557</v>
      </c>
      <c r="D229" s="171" t="s">
        <v>204</v>
      </c>
      <c r="E229" s="172" t="s">
        <v>558</v>
      </c>
      <c r="F229" s="53"/>
      <c r="G229" s="117"/>
      <c r="H229" s="173" t="e">
        <f>SUM(H230:H231)</f>
        <v>#REF!</v>
      </c>
      <c r="I229" s="114"/>
      <c r="J229" s="110">
        <f>J215</f>
        <v>0</v>
      </c>
    </row>
    <row r="230" spans="1:10" s="55" customFormat="1" ht="17.100000000000001" hidden="1" customHeight="1">
      <c r="A230" s="295" t="e">
        <f t="shared" si="13"/>
        <v>#REF!</v>
      </c>
      <c r="B230" s="51"/>
      <c r="C230" s="51" t="s">
        <v>426</v>
      </c>
      <c r="D230" s="52" t="s">
        <v>559</v>
      </c>
      <c r="E230" s="116">
        <f>cpc</f>
        <v>0.7</v>
      </c>
      <c r="F230" s="174"/>
      <c r="G230" s="175"/>
      <c r="H230" s="54" t="e">
        <f>E230*H221</f>
        <v>#REF!</v>
      </c>
      <c r="I230" s="114"/>
      <c r="J230" s="110">
        <f>J215</f>
        <v>0</v>
      </c>
    </row>
    <row r="231" spans="1:10" s="55" customFormat="1" ht="30" hidden="1">
      <c r="A231" s="295" t="e">
        <f t="shared" si="13"/>
        <v>#REF!</v>
      </c>
      <c r="B231" s="51"/>
      <c r="C231" s="78" t="s">
        <v>560</v>
      </c>
      <c r="D231" s="79" t="s">
        <v>561</v>
      </c>
      <c r="E231" s="176">
        <f>hmc</f>
        <v>0.05</v>
      </c>
      <c r="F231" s="53"/>
      <c r="G231" s="113"/>
      <c r="H231" s="54" t="e">
        <f>E231*H228</f>
        <v>#REF!</v>
      </c>
      <c r="I231" s="114"/>
      <c r="J231" s="110">
        <f>J215</f>
        <v>0</v>
      </c>
    </row>
    <row r="232" spans="1:10" s="55" customFormat="1" ht="17.100000000000001" hidden="1" customHeight="1">
      <c r="A232" s="295" t="e">
        <f t="shared" si="13"/>
        <v>#REF!</v>
      </c>
      <c r="B232" s="51"/>
      <c r="C232" s="170" t="s">
        <v>562</v>
      </c>
      <c r="D232" s="171" t="s">
        <v>563</v>
      </c>
      <c r="E232" s="179">
        <f>tn</f>
        <v>0.06</v>
      </c>
      <c r="F232" s="177"/>
      <c r="G232" s="178"/>
      <c r="H232" s="181" t="e">
        <f>SUM(H228:H229)*E232</f>
        <v>#REF!</v>
      </c>
      <c r="I232" s="114"/>
      <c r="J232" s="110">
        <f>J215</f>
        <v>0</v>
      </c>
    </row>
    <row r="233" spans="1:10" s="55" customFormat="1" ht="17.100000000000001" hidden="1" customHeight="1">
      <c r="A233" s="295" t="e">
        <f t="shared" si="13"/>
        <v>#REF!</v>
      </c>
      <c r="B233" s="51"/>
      <c r="C233" s="92" t="s">
        <v>1879</v>
      </c>
      <c r="D233" s="171" t="s">
        <v>227</v>
      </c>
      <c r="E233" s="180" t="s">
        <v>564</v>
      </c>
      <c r="F233" s="174"/>
      <c r="G233" s="175"/>
      <c r="H233" s="173" t="e">
        <f>SUM(H234:H235)</f>
        <v>#REF!</v>
      </c>
      <c r="I233" s="114"/>
      <c r="J233" s="110">
        <f>J215</f>
        <v>0</v>
      </c>
    </row>
    <row r="234" spans="1:10" s="55" customFormat="1" ht="17.100000000000001" hidden="1" customHeight="1">
      <c r="A234" s="295" t="e">
        <f t="shared" si="13"/>
        <v>#REF!</v>
      </c>
      <c r="B234" s="51"/>
      <c r="C234" s="51" t="s">
        <v>427</v>
      </c>
      <c r="D234" s="52" t="s">
        <v>428</v>
      </c>
      <c r="E234" s="1093">
        <f>paks</f>
        <v>0</v>
      </c>
      <c r="F234" s="174"/>
      <c r="G234" s="175"/>
      <c r="H234" s="54" t="e">
        <f>(H228+H229+H232)*E234</f>
        <v>#REF!</v>
      </c>
      <c r="I234" s="114"/>
      <c r="J234" s="110">
        <f>J215</f>
        <v>0</v>
      </c>
    </row>
    <row r="235" spans="1:10" s="55" customFormat="1" ht="17.100000000000001" hidden="1" customHeight="1">
      <c r="A235" s="295" t="e">
        <f t="shared" si="13"/>
        <v>#REF!</v>
      </c>
      <c r="B235" s="51"/>
      <c r="C235" s="51" t="s">
        <v>429</v>
      </c>
      <c r="D235" s="52" t="s">
        <v>430</v>
      </c>
      <c r="E235" s="1097">
        <f>bcks</f>
        <v>0.03</v>
      </c>
      <c r="F235" s="53"/>
      <c r="G235" s="113"/>
      <c r="H235" s="54" t="e">
        <f>(H228+H229+H232)*E235</f>
        <v>#REF!</v>
      </c>
      <c r="I235" s="114"/>
      <c r="J235" s="110">
        <f>J215</f>
        <v>0</v>
      </c>
    </row>
    <row r="236" spans="1:10" s="55" customFormat="1" ht="17.100000000000001" hidden="1" customHeight="1">
      <c r="A236" s="295" t="e">
        <f t="shared" si="13"/>
        <v>#REF!</v>
      </c>
      <c r="B236" s="51"/>
      <c r="C236" s="170" t="s">
        <v>565</v>
      </c>
      <c r="D236" s="171" t="s">
        <v>218</v>
      </c>
      <c r="E236" s="172" t="s">
        <v>566</v>
      </c>
      <c r="F236" s="53"/>
      <c r="G236" s="113"/>
      <c r="H236" s="173" t="e">
        <f>H228+H229+H232+H233</f>
        <v>#REF!</v>
      </c>
      <c r="I236" s="114"/>
      <c r="J236" s="715">
        <f>J215</f>
        <v>0</v>
      </c>
    </row>
    <row r="237" spans="1:10" s="55" customFormat="1" ht="17.100000000000001" hidden="1" customHeight="1">
      <c r="A237" s="295" t="e">
        <f t="shared" si="13"/>
        <v>#REF!</v>
      </c>
      <c r="B237" s="51"/>
      <c r="C237" s="51" t="s">
        <v>567</v>
      </c>
      <c r="D237" s="52" t="s">
        <v>222</v>
      </c>
      <c r="E237" s="112" t="s">
        <v>1917</v>
      </c>
      <c r="F237" s="174"/>
      <c r="G237" s="175"/>
      <c r="H237" s="54" t="e">
        <f>ROUND(H236*10/100,5)</f>
        <v>#REF!</v>
      </c>
      <c r="I237" s="114"/>
      <c r="J237" s="715">
        <f>J215</f>
        <v>0</v>
      </c>
    </row>
    <row r="238" spans="1:10" s="55" customFormat="1" ht="17.100000000000001" hidden="1" customHeight="1">
      <c r="A238" s="295" t="e">
        <f t="shared" si="13"/>
        <v>#REF!</v>
      </c>
      <c r="B238" s="51"/>
      <c r="C238" s="170" t="s">
        <v>568</v>
      </c>
      <c r="D238" s="171" t="s">
        <v>225</v>
      </c>
      <c r="E238" s="172" t="s">
        <v>192</v>
      </c>
      <c r="F238" s="53"/>
      <c r="G238" s="117"/>
      <c r="H238" s="56" t="e">
        <f>ROUND(H236+H237,5)</f>
        <v>#REF!</v>
      </c>
      <c r="I238" s="115"/>
      <c r="J238" s="715">
        <f>J215</f>
        <v>0</v>
      </c>
    </row>
    <row r="239" spans="1:10" s="263" customFormat="1" ht="17.100000000000001" customHeight="1">
      <c r="A239" s="264" t="e">
        <f t="shared" si="13"/>
        <v>#REF!</v>
      </c>
      <c r="B239" s="265" t="s">
        <v>353</v>
      </c>
      <c r="C239" s="265" t="s">
        <v>354</v>
      </c>
      <c r="D239" s="266" t="s">
        <v>308</v>
      </c>
      <c r="E239" s="270"/>
      <c r="F239" s="267"/>
      <c r="G239" s="271"/>
      <c r="H239" s="268" t="e">
        <f>H262</f>
        <v>#REF!</v>
      </c>
      <c r="I239" s="272"/>
      <c r="J239" s="273" t="e">
        <f>IF(SUMIF(Khaosat!$B$6:$B$47,'PT giaKS'!B239,Khaosat!$I$6:$I$47)&lt;&gt;0,$J$6,0)</f>
        <v>#REF!</v>
      </c>
    </row>
    <row r="240" spans="1:10" s="55" customFormat="1" ht="17.100000000000001" customHeight="1">
      <c r="A240" s="295" t="e">
        <f t="shared" si="13"/>
        <v>#REF!</v>
      </c>
      <c r="B240" s="51"/>
      <c r="C240" s="51" t="s">
        <v>355</v>
      </c>
      <c r="D240" s="52" t="s">
        <v>0</v>
      </c>
      <c r="E240" s="112"/>
      <c r="F240" s="53"/>
      <c r="G240" s="117"/>
      <c r="H240" s="54"/>
      <c r="I240" s="114"/>
      <c r="J240" s="110" t="e">
        <f>J239</f>
        <v>#REF!</v>
      </c>
    </row>
    <row r="241" spans="1:10" s="55" customFormat="1" ht="17.100000000000001" customHeight="1">
      <c r="A241" s="295" t="e">
        <f t="shared" si="13"/>
        <v>#REF!</v>
      </c>
      <c r="B241" s="51"/>
      <c r="C241" s="51" t="s">
        <v>128</v>
      </c>
      <c r="D241" s="52" t="s">
        <v>0</v>
      </c>
      <c r="E241" s="112"/>
      <c r="F241" s="53"/>
      <c r="G241" s="117"/>
      <c r="H241" s="56">
        <f>ROUND(SUM(H242:H244),5)</f>
        <v>4140</v>
      </c>
      <c r="I241" s="115"/>
      <c r="J241" s="110" t="e">
        <f>J239</f>
        <v>#REF!</v>
      </c>
    </row>
    <row r="242" spans="1:10" s="55" customFormat="1" ht="17.100000000000001" customHeight="1">
      <c r="A242" s="295" t="e">
        <f t="shared" si="13"/>
        <v>#REF!</v>
      </c>
      <c r="B242" s="51"/>
      <c r="C242" s="51" t="s">
        <v>438</v>
      </c>
      <c r="D242" s="52" t="s">
        <v>439</v>
      </c>
      <c r="E242" s="112">
        <f>0.4</f>
        <v>0.4</v>
      </c>
      <c r="F242" s="53">
        <f>VLKS!Q22</f>
        <v>5000</v>
      </c>
      <c r="G242" s="117">
        <f>hsvl</f>
        <v>1</v>
      </c>
      <c r="H242" s="54">
        <f>ROUND(E242*F242*G242,5)</f>
        <v>2000</v>
      </c>
      <c r="I242" s="114"/>
      <c r="J242" s="110" t="e">
        <f>J239</f>
        <v>#REF!</v>
      </c>
    </row>
    <row r="243" spans="1:10" s="55" customFormat="1" ht="17.100000000000001" customHeight="1">
      <c r="A243" s="295" t="e">
        <f t="shared" si="13"/>
        <v>#REF!</v>
      </c>
      <c r="B243" s="51"/>
      <c r="C243" s="51" t="s">
        <v>421</v>
      </c>
      <c r="D243" s="52" t="s">
        <v>422</v>
      </c>
      <c r="E243" s="112">
        <f>0.2</f>
        <v>0.2</v>
      </c>
      <c r="F243" s="53">
        <f>VLKS!Q51</f>
        <v>8000</v>
      </c>
      <c r="G243" s="117">
        <f>hsvl</f>
        <v>1</v>
      </c>
      <c r="H243" s="54">
        <f>ROUND(E243*F243*G243,5)</f>
        <v>1600</v>
      </c>
      <c r="I243" s="114"/>
      <c r="J243" s="110" t="e">
        <f>J239</f>
        <v>#REF!</v>
      </c>
    </row>
    <row r="244" spans="1:10" s="55" customFormat="1" ht="17.100000000000001" customHeight="1">
      <c r="A244" s="295" t="e">
        <f t="shared" si="13"/>
        <v>#REF!</v>
      </c>
      <c r="B244" s="51"/>
      <c r="C244" s="51" t="s">
        <v>127</v>
      </c>
      <c r="D244" s="52" t="s">
        <v>126</v>
      </c>
      <c r="E244" s="112">
        <f>15</f>
        <v>15</v>
      </c>
      <c r="F244" s="53"/>
      <c r="G244" s="117"/>
      <c r="H244" s="54">
        <f>ROUND(SUM(H242:H243)*E244/100,5)</f>
        <v>540</v>
      </c>
      <c r="I244" s="114"/>
      <c r="J244" s="110" t="e">
        <f>J239</f>
        <v>#REF!</v>
      </c>
    </row>
    <row r="245" spans="1:10" s="55" customFormat="1" ht="17.100000000000001" customHeight="1">
      <c r="A245" s="295" t="e">
        <f t="shared" si="13"/>
        <v>#REF!</v>
      </c>
      <c r="B245" s="51"/>
      <c r="C245" s="51" t="s">
        <v>125</v>
      </c>
      <c r="D245" s="52" t="s">
        <v>0</v>
      </c>
      <c r="E245" s="112"/>
      <c r="F245" s="53"/>
      <c r="G245" s="117"/>
      <c r="H245" s="56" t="e">
        <f>ROUND(SUM(H246:H247),5)</f>
        <v>#REF!</v>
      </c>
      <c r="I245" s="115"/>
      <c r="J245" s="110" t="e">
        <f>J239</f>
        <v>#REF!</v>
      </c>
    </row>
    <row r="246" spans="1:10" s="55" customFormat="1" ht="17.100000000000001" customHeight="1">
      <c r="A246" s="295" t="e">
        <f t="shared" si="13"/>
        <v>#REF!</v>
      </c>
      <c r="B246" s="51"/>
      <c r="C246" s="51" t="s">
        <v>423</v>
      </c>
      <c r="D246" s="52" t="s">
        <v>3</v>
      </c>
      <c r="E246" s="112">
        <f>0.839</f>
        <v>0.83899999999999997</v>
      </c>
      <c r="F246" s="53" t="e">
        <f>'NC,M KS'!P4</f>
        <v>#REF!</v>
      </c>
      <c r="G246" s="117">
        <f>hsnc</f>
        <v>1</v>
      </c>
      <c r="H246" s="54" t="e">
        <f>ROUND(E246*F246*G246,5)</f>
        <v>#REF!</v>
      </c>
      <c r="I246" s="114"/>
      <c r="J246" s="110" t="e">
        <f>J239</f>
        <v>#REF!</v>
      </c>
    </row>
    <row r="247" spans="1:10" s="55" customFormat="1" ht="17.100000000000001" customHeight="1">
      <c r="A247" s="295" t="e">
        <f t="shared" si="13"/>
        <v>#REF!</v>
      </c>
      <c r="B247" s="51"/>
      <c r="C247" s="51" t="s">
        <v>424</v>
      </c>
      <c r="D247" s="52" t="s">
        <v>3</v>
      </c>
      <c r="E247" s="112">
        <f>2.558</f>
        <v>2.5579999999999998</v>
      </c>
      <c r="F247" s="53" t="e">
        <f>'NC,M KS'!P6</f>
        <v>#REF!</v>
      </c>
      <c r="G247" s="117">
        <f>hsnc</f>
        <v>1</v>
      </c>
      <c r="H247" s="54" t="e">
        <f>ROUND(E247*F247*G247,5)</f>
        <v>#REF!</v>
      </c>
      <c r="I247" s="114"/>
      <c r="J247" s="110" t="e">
        <f>J239</f>
        <v>#REF!</v>
      </c>
    </row>
    <row r="248" spans="1:10" s="55" customFormat="1" ht="17.100000000000001" customHeight="1">
      <c r="A248" s="295" t="e">
        <f t="shared" si="13"/>
        <v>#REF!</v>
      </c>
      <c r="B248" s="51"/>
      <c r="C248" s="51" t="s">
        <v>124</v>
      </c>
      <c r="D248" s="52" t="s">
        <v>0</v>
      </c>
      <c r="E248" s="112"/>
      <c r="F248" s="53"/>
      <c r="G248" s="117"/>
      <c r="H248" s="56">
        <f>ROUND(SUM(H249:H251),5)</f>
        <v>73767.711599999995</v>
      </c>
      <c r="I248" s="115"/>
      <c r="J248" s="110" t="e">
        <f>J239</f>
        <v>#REF!</v>
      </c>
    </row>
    <row r="249" spans="1:10" s="55" customFormat="1" ht="17.100000000000001" customHeight="1">
      <c r="A249" s="295" t="e">
        <f t="shared" si="13"/>
        <v>#REF!</v>
      </c>
      <c r="B249" s="51"/>
      <c r="C249" s="51" t="s">
        <v>436</v>
      </c>
      <c r="D249" s="52" t="s">
        <v>4</v>
      </c>
      <c r="E249" s="112">
        <f>0.4524</f>
        <v>0.45240000000000002</v>
      </c>
      <c r="F249" s="53">
        <f>'NC,M KS'!P28</f>
        <v>147060</v>
      </c>
      <c r="G249" s="117">
        <f>hsm</f>
        <v>1</v>
      </c>
      <c r="H249" s="54">
        <f>ROUND(E249*F249*G249,5)</f>
        <v>66529.944000000003</v>
      </c>
      <c r="I249" s="114"/>
      <c r="J249" s="110" t="e">
        <f>J239</f>
        <v>#REF!</v>
      </c>
    </row>
    <row r="250" spans="1:10" s="55" customFormat="1" ht="17.100000000000001" customHeight="1">
      <c r="A250" s="295" t="e">
        <f t="shared" si="13"/>
        <v>#REF!</v>
      </c>
      <c r="B250" s="51"/>
      <c r="C250" s="51" t="s">
        <v>425</v>
      </c>
      <c r="D250" s="52" t="s">
        <v>4</v>
      </c>
      <c r="E250" s="112">
        <f>0.036</f>
        <v>3.5999999999999997E-2</v>
      </c>
      <c r="F250" s="53">
        <f>'NC,M KS'!P27</f>
        <v>14767</v>
      </c>
      <c r="G250" s="117">
        <f>hsm</f>
        <v>1</v>
      </c>
      <c r="H250" s="54">
        <f>ROUND(E250*F250*G250,5)</f>
        <v>531.61199999999997</v>
      </c>
      <c r="I250" s="114"/>
      <c r="J250" s="110" t="e">
        <f>J239</f>
        <v>#REF!</v>
      </c>
    </row>
    <row r="251" spans="1:10" s="55" customFormat="1" ht="17.100000000000001" customHeight="1">
      <c r="A251" s="295" t="e">
        <f t="shared" si="13"/>
        <v>#REF!</v>
      </c>
      <c r="B251" s="51"/>
      <c r="C251" s="51" t="s">
        <v>130</v>
      </c>
      <c r="D251" s="52" t="s">
        <v>126</v>
      </c>
      <c r="E251" s="112">
        <f>10</f>
        <v>10</v>
      </c>
      <c r="F251" s="53"/>
      <c r="G251" s="117"/>
      <c r="H251" s="54">
        <f>ROUND(SUM(H249:H250)*E251/100,5)</f>
        <v>6706.1556</v>
      </c>
      <c r="I251" s="114"/>
      <c r="J251" s="110" t="e">
        <f>J239</f>
        <v>#REF!</v>
      </c>
    </row>
    <row r="252" spans="1:10" s="55" customFormat="1" ht="17.100000000000001" customHeight="1">
      <c r="A252" s="295" t="e">
        <f t="shared" si="13"/>
        <v>#REF!</v>
      </c>
      <c r="B252" s="51"/>
      <c r="C252" s="170" t="s">
        <v>556</v>
      </c>
      <c r="D252" s="171" t="s">
        <v>136</v>
      </c>
      <c r="E252" s="172" t="s">
        <v>205</v>
      </c>
      <c r="F252" s="53"/>
      <c r="G252" s="117"/>
      <c r="H252" s="173" t="e">
        <f>ROUND(H241+H245+H248,5)</f>
        <v>#REF!</v>
      </c>
      <c r="I252" s="114"/>
      <c r="J252" s="110" t="e">
        <f>J239</f>
        <v>#REF!</v>
      </c>
    </row>
    <row r="253" spans="1:10" s="55" customFormat="1" ht="17.100000000000001" customHeight="1">
      <c r="A253" s="295" t="e">
        <f t="shared" si="13"/>
        <v>#REF!</v>
      </c>
      <c r="B253" s="51"/>
      <c r="C253" s="170" t="s">
        <v>557</v>
      </c>
      <c r="D253" s="171" t="s">
        <v>204</v>
      </c>
      <c r="E253" s="172" t="s">
        <v>558</v>
      </c>
      <c r="F253" s="53"/>
      <c r="G253" s="117"/>
      <c r="H253" s="173" t="e">
        <f>SUM(H254:H255)</f>
        <v>#REF!</v>
      </c>
      <c r="I253" s="114"/>
      <c r="J253" s="110" t="e">
        <f>J239</f>
        <v>#REF!</v>
      </c>
    </row>
    <row r="254" spans="1:10" s="55" customFormat="1" ht="17.100000000000001" customHeight="1">
      <c r="A254" s="295" t="e">
        <f t="shared" si="13"/>
        <v>#REF!</v>
      </c>
      <c r="B254" s="51"/>
      <c r="C254" s="51" t="s">
        <v>426</v>
      </c>
      <c r="D254" s="52" t="s">
        <v>559</v>
      </c>
      <c r="E254" s="116">
        <f>cpc</f>
        <v>0.7</v>
      </c>
      <c r="F254" s="174"/>
      <c r="G254" s="175"/>
      <c r="H254" s="54" t="e">
        <f>E254*H245</f>
        <v>#REF!</v>
      </c>
      <c r="I254" s="114"/>
      <c r="J254" s="110" t="e">
        <f>J239</f>
        <v>#REF!</v>
      </c>
    </row>
    <row r="255" spans="1:10" s="55" customFormat="1" ht="30">
      <c r="A255" s="295" t="e">
        <f t="shared" si="13"/>
        <v>#REF!</v>
      </c>
      <c r="B255" s="51"/>
      <c r="C255" s="78" t="s">
        <v>560</v>
      </c>
      <c r="D255" s="79" t="s">
        <v>561</v>
      </c>
      <c r="E255" s="176">
        <f>hmc</f>
        <v>0.05</v>
      </c>
      <c r="F255" s="53"/>
      <c r="G255" s="113"/>
      <c r="H255" s="54" t="e">
        <f>E255*H252</f>
        <v>#REF!</v>
      </c>
      <c r="I255" s="114"/>
      <c r="J255" s="110" t="e">
        <f>J239</f>
        <v>#REF!</v>
      </c>
    </row>
    <row r="256" spans="1:10" s="55" customFormat="1" ht="17.100000000000001" customHeight="1">
      <c r="A256" s="295" t="e">
        <f t="shared" si="13"/>
        <v>#REF!</v>
      </c>
      <c r="B256" s="51"/>
      <c r="C256" s="170" t="s">
        <v>562</v>
      </c>
      <c r="D256" s="171" t="s">
        <v>563</v>
      </c>
      <c r="E256" s="179">
        <f>tn</f>
        <v>0.06</v>
      </c>
      <c r="F256" s="177"/>
      <c r="G256" s="178"/>
      <c r="H256" s="181" t="e">
        <f>SUM(H252:H253)*E256</f>
        <v>#REF!</v>
      </c>
      <c r="I256" s="114"/>
      <c r="J256" s="110" t="e">
        <f>J239</f>
        <v>#REF!</v>
      </c>
    </row>
    <row r="257" spans="1:10" s="55" customFormat="1" ht="17.100000000000001" customHeight="1">
      <c r="A257" s="295" t="e">
        <f t="shared" si="13"/>
        <v>#REF!</v>
      </c>
      <c r="B257" s="51"/>
      <c r="C257" s="92" t="s">
        <v>1879</v>
      </c>
      <c r="D257" s="171" t="s">
        <v>227</v>
      </c>
      <c r="E257" s="180" t="s">
        <v>564</v>
      </c>
      <c r="F257" s="174"/>
      <c r="G257" s="175"/>
      <c r="H257" s="173" t="e">
        <f>SUM(H258:H259)</f>
        <v>#REF!</v>
      </c>
      <c r="I257" s="114"/>
      <c r="J257" s="110" t="e">
        <f>J239</f>
        <v>#REF!</v>
      </c>
    </row>
    <row r="258" spans="1:10" s="55" customFormat="1" ht="17.100000000000001" customHeight="1">
      <c r="A258" s="295" t="e">
        <f t="shared" si="13"/>
        <v>#REF!</v>
      </c>
      <c r="B258" s="51"/>
      <c r="C258" s="51" t="s">
        <v>427</v>
      </c>
      <c r="D258" s="52" t="s">
        <v>428</v>
      </c>
      <c r="E258" s="1093">
        <f>paks</f>
        <v>0</v>
      </c>
      <c r="F258" s="174"/>
      <c r="G258" s="175"/>
      <c r="H258" s="54" t="e">
        <f>(H252+H253+H256)*E258</f>
        <v>#REF!</v>
      </c>
      <c r="I258" s="114"/>
      <c r="J258" s="110" t="e">
        <f>J239</f>
        <v>#REF!</v>
      </c>
    </row>
    <row r="259" spans="1:10" s="55" customFormat="1" ht="17.100000000000001" customHeight="1">
      <c r="A259" s="295" t="e">
        <f t="shared" si="13"/>
        <v>#REF!</v>
      </c>
      <c r="B259" s="51"/>
      <c r="C259" s="51" t="s">
        <v>429</v>
      </c>
      <c r="D259" s="52" t="s">
        <v>430</v>
      </c>
      <c r="E259" s="1093">
        <f>bcks</f>
        <v>0.03</v>
      </c>
      <c r="F259" s="53"/>
      <c r="G259" s="113"/>
      <c r="H259" s="54" t="e">
        <f>(H252+H253+H256)*E259</f>
        <v>#REF!</v>
      </c>
      <c r="I259" s="114"/>
      <c r="J259" s="110" t="e">
        <f>J239</f>
        <v>#REF!</v>
      </c>
    </row>
    <row r="260" spans="1:10" s="55" customFormat="1" ht="17.100000000000001" customHeight="1">
      <c r="A260" s="295" t="e">
        <f t="shared" si="13"/>
        <v>#REF!</v>
      </c>
      <c r="B260" s="51"/>
      <c r="C260" s="170" t="s">
        <v>565</v>
      </c>
      <c r="D260" s="171" t="s">
        <v>218</v>
      </c>
      <c r="E260" s="172" t="s">
        <v>566</v>
      </c>
      <c r="F260" s="53"/>
      <c r="G260" s="113"/>
      <c r="H260" s="173" t="e">
        <f>H252+H253+H256+H257</f>
        <v>#REF!</v>
      </c>
      <c r="I260" s="114"/>
      <c r="J260" s="715" t="e">
        <f>J239</f>
        <v>#REF!</v>
      </c>
    </row>
    <row r="261" spans="1:10" s="55" customFormat="1" ht="17.100000000000001" customHeight="1">
      <c r="A261" s="295" t="e">
        <f t="shared" si="13"/>
        <v>#REF!</v>
      </c>
      <c r="B261" s="51"/>
      <c r="C261" s="51" t="s">
        <v>567</v>
      </c>
      <c r="D261" s="52" t="s">
        <v>222</v>
      </c>
      <c r="E261" s="112" t="s">
        <v>1917</v>
      </c>
      <c r="F261" s="174"/>
      <c r="G261" s="175"/>
      <c r="H261" s="54" t="e">
        <f>ROUND(H260*10/100,5)</f>
        <v>#REF!</v>
      </c>
      <c r="I261" s="114"/>
      <c r="J261" s="715" t="e">
        <f>J239</f>
        <v>#REF!</v>
      </c>
    </row>
    <row r="262" spans="1:10" s="55" customFormat="1" ht="17.100000000000001" customHeight="1">
      <c r="A262" s="295" t="e">
        <f t="shared" si="13"/>
        <v>#REF!</v>
      </c>
      <c r="B262" s="51"/>
      <c r="C262" s="170" t="s">
        <v>568</v>
      </c>
      <c r="D262" s="171" t="s">
        <v>225</v>
      </c>
      <c r="E262" s="172" t="s">
        <v>192</v>
      </c>
      <c r="F262" s="53"/>
      <c r="G262" s="117"/>
      <c r="H262" s="56" t="e">
        <f>ROUND(H260+H261,5)</f>
        <v>#REF!</v>
      </c>
      <c r="I262" s="115"/>
      <c r="J262" s="715" t="e">
        <f>J239</f>
        <v>#REF!</v>
      </c>
    </row>
    <row r="263" spans="1:10" s="263" customFormat="1" ht="17.100000000000001" hidden="1" customHeight="1">
      <c r="A263" s="264" t="e">
        <f t="shared" si="13"/>
        <v>#REF!</v>
      </c>
      <c r="B263" s="265" t="s">
        <v>315</v>
      </c>
      <c r="C263" s="265" t="s">
        <v>354</v>
      </c>
      <c r="D263" s="266" t="s">
        <v>308</v>
      </c>
      <c r="E263" s="270"/>
      <c r="F263" s="267"/>
      <c r="G263" s="271"/>
      <c r="H263" s="268" t="e">
        <f>H286</f>
        <v>#REF!</v>
      </c>
      <c r="I263" s="272"/>
      <c r="J263" s="273">
        <f>IF(SUMIF(Khaosat!$B$6:$B$47,'PT giaKS'!B263,Khaosat!$I$6:$I$47)&lt;&gt;0,$J$6,0)</f>
        <v>0</v>
      </c>
    </row>
    <row r="264" spans="1:10" s="55" customFormat="1" ht="17.100000000000001" hidden="1" customHeight="1">
      <c r="A264" s="50" t="e">
        <f t="shared" si="13"/>
        <v>#REF!</v>
      </c>
      <c r="B264" s="51"/>
      <c r="C264" s="51" t="s">
        <v>440</v>
      </c>
      <c r="D264" s="52" t="s">
        <v>0</v>
      </c>
      <c r="E264" s="112"/>
      <c r="F264" s="53"/>
      <c r="G264" s="117"/>
      <c r="H264" s="54"/>
      <c r="I264" s="114"/>
      <c r="J264" s="110">
        <f>J263</f>
        <v>0</v>
      </c>
    </row>
    <row r="265" spans="1:10" s="55" customFormat="1" ht="17.100000000000001" hidden="1" customHeight="1">
      <c r="A265" s="50" t="e">
        <f t="shared" ref="A265:A328" si="14">IF(B265&lt;&gt;0,A264+J265,A264)</f>
        <v>#REF!</v>
      </c>
      <c r="B265" s="51"/>
      <c r="C265" s="51" t="s">
        <v>128</v>
      </c>
      <c r="D265" s="52" t="s">
        <v>0</v>
      </c>
      <c r="E265" s="112"/>
      <c r="F265" s="53"/>
      <c r="G265" s="117"/>
      <c r="H265" s="56">
        <f>ROUND(SUM(H266:H268),5)</f>
        <v>5635</v>
      </c>
      <c r="I265" s="115"/>
      <c r="J265" s="110">
        <f>J263</f>
        <v>0</v>
      </c>
    </row>
    <row r="266" spans="1:10" s="55" customFormat="1" ht="17.100000000000001" hidden="1" customHeight="1">
      <c r="A266" s="50" t="e">
        <f t="shared" si="14"/>
        <v>#REF!</v>
      </c>
      <c r="B266" s="51"/>
      <c r="C266" s="51" t="s">
        <v>438</v>
      </c>
      <c r="D266" s="52" t="s">
        <v>439</v>
      </c>
      <c r="E266" s="112">
        <f>0.5</f>
        <v>0.5</v>
      </c>
      <c r="F266" s="53">
        <f>VLKS!Q22</f>
        <v>5000</v>
      </c>
      <c r="G266" s="117">
        <f>hsvl</f>
        <v>1</v>
      </c>
      <c r="H266" s="54">
        <f>ROUND(E266*F266*G266,5)</f>
        <v>2500</v>
      </c>
      <c r="I266" s="114"/>
      <c r="J266" s="110">
        <f>J263</f>
        <v>0</v>
      </c>
    </row>
    <row r="267" spans="1:10" s="55" customFormat="1" ht="17.100000000000001" hidden="1" customHeight="1">
      <c r="A267" s="50" t="e">
        <f t="shared" si="14"/>
        <v>#REF!</v>
      </c>
      <c r="B267" s="51"/>
      <c r="C267" s="51" t="s">
        <v>421</v>
      </c>
      <c r="D267" s="52" t="s">
        <v>422</v>
      </c>
      <c r="E267" s="112">
        <f>0.3</f>
        <v>0.3</v>
      </c>
      <c r="F267" s="53">
        <f>VLKS!Q51</f>
        <v>8000</v>
      </c>
      <c r="G267" s="117">
        <f>hsvl</f>
        <v>1</v>
      </c>
      <c r="H267" s="54">
        <f>ROUND(E267*F267*G267,5)</f>
        <v>2400</v>
      </c>
      <c r="I267" s="114"/>
      <c r="J267" s="110">
        <f>J263</f>
        <v>0</v>
      </c>
    </row>
    <row r="268" spans="1:10" s="55" customFormat="1" ht="17.100000000000001" hidden="1" customHeight="1">
      <c r="A268" s="50" t="e">
        <f t="shared" si="14"/>
        <v>#REF!</v>
      </c>
      <c r="B268" s="51"/>
      <c r="C268" s="51" t="s">
        <v>127</v>
      </c>
      <c r="D268" s="52" t="s">
        <v>126</v>
      </c>
      <c r="E268" s="112">
        <f>15</f>
        <v>15</v>
      </c>
      <c r="F268" s="53"/>
      <c r="G268" s="117"/>
      <c r="H268" s="54">
        <f>ROUND(SUM(H266:H267)*E268/100,5)</f>
        <v>735</v>
      </c>
      <c r="I268" s="114"/>
      <c r="J268" s="110">
        <f>J263</f>
        <v>0</v>
      </c>
    </row>
    <row r="269" spans="1:10" s="55" customFormat="1" ht="17.100000000000001" hidden="1" customHeight="1">
      <c r="A269" s="50" t="e">
        <f t="shared" si="14"/>
        <v>#REF!</v>
      </c>
      <c r="B269" s="51"/>
      <c r="C269" s="51" t="s">
        <v>125</v>
      </c>
      <c r="D269" s="52" t="s">
        <v>0</v>
      </c>
      <c r="E269" s="112"/>
      <c r="F269" s="53"/>
      <c r="G269" s="117"/>
      <c r="H269" s="56" t="e">
        <f>ROUND(SUM(H270:H271),5)</f>
        <v>#REF!</v>
      </c>
      <c r="I269" s="115"/>
      <c r="J269" s="110">
        <f>J263</f>
        <v>0</v>
      </c>
    </row>
    <row r="270" spans="1:10" s="55" customFormat="1" ht="17.100000000000001" hidden="1" customHeight="1">
      <c r="A270" s="50" t="e">
        <f t="shared" si="14"/>
        <v>#REF!</v>
      </c>
      <c r="B270" s="51"/>
      <c r="C270" s="51" t="s">
        <v>423</v>
      </c>
      <c r="D270" s="52" t="s">
        <v>3</v>
      </c>
      <c r="E270" s="112">
        <f>1.166</f>
        <v>1.1659999999999999</v>
      </c>
      <c r="F270" s="53" t="e">
        <f>'NC,M KS'!P4</f>
        <v>#REF!</v>
      </c>
      <c r="G270" s="117">
        <f>hsnc</f>
        <v>1</v>
      </c>
      <c r="H270" s="54" t="e">
        <f>ROUND(E270*F270*G270,5)</f>
        <v>#REF!</v>
      </c>
      <c r="I270" s="114"/>
      <c r="J270" s="110">
        <f>J263</f>
        <v>0</v>
      </c>
    </row>
    <row r="271" spans="1:10" s="55" customFormat="1" ht="17.100000000000001" hidden="1" customHeight="1">
      <c r="A271" s="50" t="e">
        <f t="shared" si="14"/>
        <v>#REF!</v>
      </c>
      <c r="B271" s="51"/>
      <c r="C271" s="51" t="s">
        <v>424</v>
      </c>
      <c r="D271" s="52" t="s">
        <v>3</v>
      </c>
      <c r="E271" s="112">
        <f>3.7136</f>
        <v>3.7136</v>
      </c>
      <c r="F271" s="53" t="e">
        <f>'NC,M KS'!P6</f>
        <v>#REF!</v>
      </c>
      <c r="G271" s="117">
        <f>hsnc</f>
        <v>1</v>
      </c>
      <c r="H271" s="54" t="e">
        <f>ROUND(E271*F271*G271,5)</f>
        <v>#REF!</v>
      </c>
      <c r="I271" s="114"/>
      <c r="J271" s="110">
        <f>J263</f>
        <v>0</v>
      </c>
    </row>
    <row r="272" spans="1:10" s="55" customFormat="1" ht="17.100000000000001" hidden="1" customHeight="1">
      <c r="A272" s="50" t="e">
        <f t="shared" si="14"/>
        <v>#REF!</v>
      </c>
      <c r="B272" s="51"/>
      <c r="C272" s="51" t="s">
        <v>124</v>
      </c>
      <c r="D272" s="52" t="s">
        <v>0</v>
      </c>
      <c r="E272" s="112"/>
      <c r="F272" s="53"/>
      <c r="G272" s="117"/>
      <c r="H272" s="56">
        <f>ROUND(SUM(H273:H275),5)</f>
        <v>119289.87179999999</v>
      </c>
      <c r="I272" s="115"/>
      <c r="J272" s="110">
        <f>J263</f>
        <v>0</v>
      </c>
    </row>
    <row r="273" spans="1:10" s="55" customFormat="1" ht="17.100000000000001" hidden="1" customHeight="1">
      <c r="A273" s="50" t="e">
        <f t="shared" si="14"/>
        <v>#REF!</v>
      </c>
      <c r="B273" s="51"/>
      <c r="C273" s="51" t="s">
        <v>436</v>
      </c>
      <c r="D273" s="52" t="s">
        <v>4</v>
      </c>
      <c r="E273" s="112">
        <f>0.732</f>
        <v>0.73199999999999998</v>
      </c>
      <c r="F273" s="53">
        <f>'NC,M KS'!P28</f>
        <v>147060</v>
      </c>
      <c r="G273" s="117">
        <f>hsm</f>
        <v>1</v>
      </c>
      <c r="H273" s="54">
        <f>ROUND(E273*F273*G273,5)</f>
        <v>107647.92</v>
      </c>
      <c r="I273" s="114"/>
      <c r="J273" s="110">
        <f>J263</f>
        <v>0</v>
      </c>
    </row>
    <row r="274" spans="1:10" s="55" customFormat="1" ht="17.100000000000001" hidden="1" customHeight="1">
      <c r="A274" s="50" t="e">
        <f t="shared" si="14"/>
        <v>#REF!</v>
      </c>
      <c r="B274" s="51"/>
      <c r="C274" s="51" t="s">
        <v>425</v>
      </c>
      <c r="D274" s="52" t="s">
        <v>4</v>
      </c>
      <c r="E274" s="112">
        <f>0.054</f>
        <v>5.3999999999999999E-2</v>
      </c>
      <c r="F274" s="53">
        <f>'NC,M KS'!P27</f>
        <v>14767</v>
      </c>
      <c r="G274" s="117">
        <f>hsm</f>
        <v>1</v>
      </c>
      <c r="H274" s="54">
        <f>ROUND(E274*F274*G274,5)</f>
        <v>797.41800000000001</v>
      </c>
      <c r="I274" s="114"/>
      <c r="J274" s="110">
        <f>J263</f>
        <v>0</v>
      </c>
    </row>
    <row r="275" spans="1:10" s="55" customFormat="1" ht="17.100000000000001" hidden="1" customHeight="1">
      <c r="A275" s="50" t="e">
        <f t="shared" si="14"/>
        <v>#REF!</v>
      </c>
      <c r="B275" s="51"/>
      <c r="C275" s="51" t="s">
        <v>130</v>
      </c>
      <c r="D275" s="52" t="s">
        <v>126</v>
      </c>
      <c r="E275" s="112">
        <f>10</f>
        <v>10</v>
      </c>
      <c r="F275" s="53"/>
      <c r="G275" s="117"/>
      <c r="H275" s="54">
        <f>ROUND(SUM(H273:H274)*E275/100,5)</f>
        <v>10844.533799999999</v>
      </c>
      <c r="I275" s="114"/>
      <c r="J275" s="110">
        <f>J263</f>
        <v>0</v>
      </c>
    </row>
    <row r="276" spans="1:10" s="55" customFormat="1" ht="17.100000000000001" hidden="1" customHeight="1">
      <c r="A276" s="50" t="e">
        <f t="shared" si="14"/>
        <v>#REF!</v>
      </c>
      <c r="B276" s="51"/>
      <c r="C276" s="170" t="s">
        <v>556</v>
      </c>
      <c r="D276" s="171" t="s">
        <v>136</v>
      </c>
      <c r="E276" s="172" t="s">
        <v>205</v>
      </c>
      <c r="F276" s="53"/>
      <c r="G276" s="117"/>
      <c r="H276" s="173" t="e">
        <f>ROUND(H265+H269+H272,5)</f>
        <v>#REF!</v>
      </c>
      <c r="I276" s="114"/>
      <c r="J276" s="110">
        <f>J263</f>
        <v>0</v>
      </c>
    </row>
    <row r="277" spans="1:10" s="55" customFormat="1" ht="17.100000000000001" hidden="1" customHeight="1">
      <c r="A277" s="50" t="e">
        <f t="shared" si="14"/>
        <v>#REF!</v>
      </c>
      <c r="B277" s="51"/>
      <c r="C277" s="170" t="s">
        <v>557</v>
      </c>
      <c r="D277" s="171" t="s">
        <v>204</v>
      </c>
      <c r="E277" s="172" t="s">
        <v>558</v>
      </c>
      <c r="F277" s="53"/>
      <c r="G277" s="117"/>
      <c r="H277" s="173" t="e">
        <f>SUM(H278:H279)</f>
        <v>#REF!</v>
      </c>
      <c r="I277" s="114"/>
      <c r="J277" s="110">
        <f>J263</f>
        <v>0</v>
      </c>
    </row>
    <row r="278" spans="1:10" s="55" customFormat="1" ht="17.100000000000001" hidden="1" customHeight="1">
      <c r="A278" s="50" t="e">
        <f t="shared" si="14"/>
        <v>#REF!</v>
      </c>
      <c r="B278" s="51"/>
      <c r="C278" s="51" t="s">
        <v>426</v>
      </c>
      <c r="D278" s="52" t="s">
        <v>559</v>
      </c>
      <c r="E278" s="116">
        <f>cpc</f>
        <v>0.7</v>
      </c>
      <c r="F278" s="174"/>
      <c r="G278" s="175"/>
      <c r="H278" s="54" t="e">
        <f>E278*H269</f>
        <v>#REF!</v>
      </c>
      <c r="I278" s="114"/>
      <c r="J278" s="110">
        <f>J263</f>
        <v>0</v>
      </c>
    </row>
    <row r="279" spans="1:10" s="55" customFormat="1" ht="17.100000000000001" hidden="1" customHeight="1">
      <c r="A279" s="50" t="e">
        <f t="shared" si="14"/>
        <v>#REF!</v>
      </c>
      <c r="B279" s="51"/>
      <c r="C279" s="78" t="s">
        <v>560</v>
      </c>
      <c r="D279" s="79" t="s">
        <v>561</v>
      </c>
      <c r="E279" s="176">
        <f>hmc</f>
        <v>0.05</v>
      </c>
      <c r="F279" s="53"/>
      <c r="G279" s="113"/>
      <c r="H279" s="54" t="e">
        <f>E279*H276</f>
        <v>#REF!</v>
      </c>
      <c r="I279" s="114"/>
      <c r="J279" s="110">
        <f>J263</f>
        <v>0</v>
      </c>
    </row>
    <row r="280" spans="1:10" s="55" customFormat="1" ht="17.100000000000001" hidden="1" customHeight="1">
      <c r="A280" s="50" t="e">
        <f t="shared" si="14"/>
        <v>#REF!</v>
      </c>
      <c r="B280" s="51"/>
      <c r="C280" s="170" t="s">
        <v>562</v>
      </c>
      <c r="D280" s="171" t="s">
        <v>563</v>
      </c>
      <c r="E280" s="179">
        <f>tn</f>
        <v>0.06</v>
      </c>
      <c r="F280" s="177"/>
      <c r="G280" s="178"/>
      <c r="H280" s="181" t="e">
        <f>SUM(H276:H277)*E280</f>
        <v>#REF!</v>
      </c>
      <c r="I280" s="114"/>
      <c r="J280" s="110">
        <f>J263</f>
        <v>0</v>
      </c>
    </row>
    <row r="281" spans="1:10" s="55" customFormat="1" ht="17.100000000000001" hidden="1" customHeight="1">
      <c r="A281" s="50" t="e">
        <f t="shared" si="14"/>
        <v>#REF!</v>
      </c>
      <c r="B281" s="51"/>
      <c r="C281" s="92" t="s">
        <v>1879</v>
      </c>
      <c r="D281" s="171" t="s">
        <v>227</v>
      </c>
      <c r="E281" s="180" t="s">
        <v>564</v>
      </c>
      <c r="F281" s="174"/>
      <c r="G281" s="175"/>
      <c r="H281" s="173" t="e">
        <f>SUM(H282:H283)</f>
        <v>#REF!</v>
      </c>
      <c r="I281" s="114"/>
      <c r="J281" s="110">
        <f>J263</f>
        <v>0</v>
      </c>
    </row>
    <row r="282" spans="1:10" s="55" customFormat="1" ht="17.100000000000001" hidden="1" customHeight="1">
      <c r="A282" s="50" t="e">
        <f t="shared" si="14"/>
        <v>#REF!</v>
      </c>
      <c r="B282" s="51"/>
      <c r="C282" s="51" t="s">
        <v>427</v>
      </c>
      <c r="D282" s="52" t="s">
        <v>428</v>
      </c>
      <c r="E282" s="1093">
        <f>paks</f>
        <v>0</v>
      </c>
      <c r="F282" s="174"/>
      <c r="G282" s="175"/>
      <c r="H282" s="54" t="e">
        <f>(H276+H277+H280)*E282</f>
        <v>#REF!</v>
      </c>
      <c r="I282" s="114"/>
      <c r="J282" s="110">
        <f>J263</f>
        <v>0</v>
      </c>
    </row>
    <row r="283" spans="1:10" s="55" customFormat="1" ht="17.100000000000001" hidden="1" customHeight="1">
      <c r="A283" s="50" t="e">
        <f t="shared" si="14"/>
        <v>#REF!</v>
      </c>
      <c r="B283" s="51"/>
      <c r="C283" s="51" t="s">
        <v>429</v>
      </c>
      <c r="D283" s="52" t="s">
        <v>430</v>
      </c>
      <c r="E283" s="1093">
        <f>bcks</f>
        <v>0.03</v>
      </c>
      <c r="F283" s="53"/>
      <c r="G283" s="113"/>
      <c r="H283" s="54" t="e">
        <f>(H276+H277+H280)*E283</f>
        <v>#REF!</v>
      </c>
      <c r="I283" s="114"/>
      <c r="J283" s="110">
        <f>J263</f>
        <v>0</v>
      </c>
    </row>
    <row r="284" spans="1:10" s="55" customFormat="1" ht="17.100000000000001" hidden="1" customHeight="1">
      <c r="A284" s="50" t="e">
        <f t="shared" si="14"/>
        <v>#REF!</v>
      </c>
      <c r="B284" s="51"/>
      <c r="C284" s="170" t="s">
        <v>565</v>
      </c>
      <c r="D284" s="171" t="s">
        <v>218</v>
      </c>
      <c r="E284" s="172" t="s">
        <v>566</v>
      </c>
      <c r="F284" s="53"/>
      <c r="G284" s="113"/>
      <c r="H284" s="173" t="e">
        <f>H276+H277+H280+H281</f>
        <v>#REF!</v>
      </c>
      <c r="I284" s="114"/>
      <c r="J284" s="715">
        <f>J263</f>
        <v>0</v>
      </c>
    </row>
    <row r="285" spans="1:10" s="55" customFormat="1" ht="17.100000000000001" hidden="1" customHeight="1">
      <c r="A285" s="50" t="e">
        <f t="shared" si="14"/>
        <v>#REF!</v>
      </c>
      <c r="B285" s="51"/>
      <c r="C285" s="51" t="s">
        <v>567</v>
      </c>
      <c r="D285" s="52" t="s">
        <v>222</v>
      </c>
      <c r="E285" s="112" t="s">
        <v>1917</v>
      </c>
      <c r="F285" s="174"/>
      <c r="G285" s="175"/>
      <c r="H285" s="54" t="e">
        <f>ROUND(H284*10/100,5)</f>
        <v>#REF!</v>
      </c>
      <c r="I285" s="114"/>
      <c r="J285" s="715">
        <f>J263</f>
        <v>0</v>
      </c>
    </row>
    <row r="286" spans="1:10" s="55" customFormat="1" ht="17.100000000000001" hidden="1" customHeight="1">
      <c r="A286" s="50" t="e">
        <f t="shared" si="14"/>
        <v>#REF!</v>
      </c>
      <c r="B286" s="51"/>
      <c r="C286" s="170" t="s">
        <v>568</v>
      </c>
      <c r="D286" s="171" t="s">
        <v>225</v>
      </c>
      <c r="E286" s="172" t="s">
        <v>192</v>
      </c>
      <c r="F286" s="53"/>
      <c r="G286" s="117"/>
      <c r="H286" s="56" t="e">
        <f>ROUND(H284+H285,5)</f>
        <v>#REF!</v>
      </c>
      <c r="I286" s="115"/>
      <c r="J286" s="715">
        <f>J263</f>
        <v>0</v>
      </c>
    </row>
    <row r="287" spans="1:10" s="263" customFormat="1" ht="17.100000000000001" hidden="1" customHeight="1">
      <c r="A287" s="264" t="e">
        <f t="shared" si="14"/>
        <v>#REF!</v>
      </c>
      <c r="B287" s="265" t="s">
        <v>356</v>
      </c>
      <c r="C287" s="265" t="s">
        <v>357</v>
      </c>
      <c r="D287" s="266" t="s">
        <v>308</v>
      </c>
      <c r="E287" s="270"/>
      <c r="F287" s="267"/>
      <c r="G287" s="271"/>
      <c r="H287" s="268" t="e">
        <f>H310</f>
        <v>#REF!</v>
      </c>
      <c r="I287" s="272"/>
      <c r="J287" s="273" t="e">
        <f>IF(SUMIF(Khaosat!$B$6:$B$47,'PT giaKS'!B287,Khaosat!$I$6:$I$47)&lt;&gt;0,$J$6,0)</f>
        <v>#REF!</v>
      </c>
    </row>
    <row r="288" spans="1:10" s="55" customFormat="1" ht="17.100000000000001" hidden="1" customHeight="1">
      <c r="A288" s="50" t="e">
        <f t="shared" si="14"/>
        <v>#REF!</v>
      </c>
      <c r="B288" s="51"/>
      <c r="C288" s="51" t="s">
        <v>358</v>
      </c>
      <c r="D288" s="52" t="s">
        <v>0</v>
      </c>
      <c r="E288" s="112"/>
      <c r="F288" s="53"/>
      <c r="G288" s="117"/>
      <c r="H288" s="54"/>
      <c r="I288" s="114"/>
      <c r="J288" s="110" t="e">
        <f>J287</f>
        <v>#REF!</v>
      </c>
    </row>
    <row r="289" spans="1:10" s="55" customFormat="1" ht="17.100000000000001" hidden="1" customHeight="1">
      <c r="A289" s="50" t="e">
        <f t="shared" si="14"/>
        <v>#REF!</v>
      </c>
      <c r="B289" s="51"/>
      <c r="C289" s="51" t="s">
        <v>128</v>
      </c>
      <c r="D289" s="52" t="s">
        <v>0</v>
      </c>
      <c r="E289" s="112"/>
      <c r="F289" s="53"/>
      <c r="G289" s="117"/>
      <c r="H289" s="56">
        <f>ROUND(SUM(H290:H292),5)</f>
        <v>23690</v>
      </c>
      <c r="I289" s="115"/>
      <c r="J289" s="110" t="e">
        <f>J287</f>
        <v>#REF!</v>
      </c>
    </row>
    <row r="290" spans="1:10" s="55" customFormat="1" ht="17.100000000000001" hidden="1" customHeight="1">
      <c r="A290" s="50" t="e">
        <f t="shared" si="14"/>
        <v>#REF!</v>
      </c>
      <c r="B290" s="51"/>
      <c r="C290" s="51" t="s">
        <v>438</v>
      </c>
      <c r="D290" s="52" t="s">
        <v>439</v>
      </c>
      <c r="E290" s="112">
        <f>3</f>
        <v>3</v>
      </c>
      <c r="F290" s="53">
        <f>VLKS!Q22</f>
        <v>5000</v>
      </c>
      <c r="G290" s="117">
        <f>hsvl</f>
        <v>1</v>
      </c>
      <c r="H290" s="54">
        <f>ROUND(E290*F290*G290,5)</f>
        <v>15000</v>
      </c>
      <c r="I290" s="114"/>
      <c r="J290" s="110" t="e">
        <f>J287</f>
        <v>#REF!</v>
      </c>
    </row>
    <row r="291" spans="1:10" s="55" customFormat="1" ht="17.100000000000001" hidden="1" customHeight="1">
      <c r="A291" s="50" t="e">
        <f t="shared" si="14"/>
        <v>#REF!</v>
      </c>
      <c r="B291" s="51"/>
      <c r="C291" s="51" t="s">
        <v>421</v>
      </c>
      <c r="D291" s="52" t="s">
        <v>422</v>
      </c>
      <c r="E291" s="112">
        <f>0.7</f>
        <v>0.7</v>
      </c>
      <c r="F291" s="53">
        <f>VLKS!Q51</f>
        <v>8000</v>
      </c>
      <c r="G291" s="117">
        <f>hsvl</f>
        <v>1</v>
      </c>
      <c r="H291" s="54">
        <f>ROUND(E291*F291*G291,5)</f>
        <v>5600</v>
      </c>
      <c r="I291" s="114"/>
      <c r="J291" s="110" t="e">
        <f>J287</f>
        <v>#REF!</v>
      </c>
    </row>
    <row r="292" spans="1:10" s="55" customFormat="1" ht="17.100000000000001" hidden="1" customHeight="1">
      <c r="A292" s="50" t="e">
        <f t="shared" si="14"/>
        <v>#REF!</v>
      </c>
      <c r="B292" s="51"/>
      <c r="C292" s="51" t="s">
        <v>127</v>
      </c>
      <c r="D292" s="52" t="s">
        <v>126</v>
      </c>
      <c r="E292" s="112">
        <f>15</f>
        <v>15</v>
      </c>
      <c r="F292" s="53"/>
      <c r="G292" s="117"/>
      <c r="H292" s="54">
        <f>ROUND(SUM(H290:H291)*E292/100,5)</f>
        <v>3090</v>
      </c>
      <c r="I292" s="114"/>
      <c r="J292" s="110" t="e">
        <f>J287</f>
        <v>#REF!</v>
      </c>
    </row>
    <row r="293" spans="1:10" s="55" customFormat="1" ht="17.100000000000001" hidden="1" customHeight="1">
      <c r="A293" s="50" t="e">
        <f t="shared" si="14"/>
        <v>#REF!</v>
      </c>
      <c r="B293" s="51"/>
      <c r="C293" s="51" t="s">
        <v>125</v>
      </c>
      <c r="D293" s="52" t="s">
        <v>0</v>
      </c>
      <c r="E293" s="112"/>
      <c r="F293" s="53"/>
      <c r="G293" s="117"/>
      <c r="H293" s="56" t="e">
        <f>ROUND(SUM(H294:H295),5)</f>
        <v>#REF!</v>
      </c>
      <c r="I293" s="115"/>
      <c r="J293" s="110" t="e">
        <f>J287</f>
        <v>#REF!</v>
      </c>
    </row>
    <row r="294" spans="1:10" s="55" customFormat="1" ht="17.100000000000001" hidden="1" customHeight="1">
      <c r="A294" s="50" t="e">
        <f t="shared" si="14"/>
        <v>#REF!</v>
      </c>
      <c r="B294" s="51"/>
      <c r="C294" s="51" t="s">
        <v>423</v>
      </c>
      <c r="D294" s="52" t="s">
        <v>3</v>
      </c>
      <c r="E294" s="112">
        <f>1.78</f>
        <v>1.78</v>
      </c>
      <c r="F294" s="53" t="e">
        <f>'NC,M KS'!P4</f>
        <v>#REF!</v>
      </c>
      <c r="G294" s="117">
        <f>hsnc</f>
        <v>1</v>
      </c>
      <c r="H294" s="54" t="e">
        <f>ROUND(E294*F294*G294,5)</f>
        <v>#REF!</v>
      </c>
      <c r="I294" s="114"/>
      <c r="J294" s="110" t="e">
        <f>J287</f>
        <v>#REF!</v>
      </c>
    </row>
    <row r="295" spans="1:10" s="55" customFormat="1" ht="17.100000000000001" hidden="1" customHeight="1">
      <c r="A295" s="50" t="e">
        <f t="shared" si="14"/>
        <v>#REF!</v>
      </c>
      <c r="B295" s="51"/>
      <c r="C295" s="51" t="s">
        <v>424</v>
      </c>
      <c r="D295" s="52" t="s">
        <v>3</v>
      </c>
      <c r="E295" s="112">
        <f>5.36</f>
        <v>5.36</v>
      </c>
      <c r="F295" s="53" t="e">
        <f>'NC,M KS'!P6</f>
        <v>#REF!</v>
      </c>
      <c r="G295" s="117">
        <f>hsnc</f>
        <v>1</v>
      </c>
      <c r="H295" s="54" t="e">
        <f>ROUND(E295*F295*G295,5)</f>
        <v>#REF!</v>
      </c>
      <c r="I295" s="114"/>
      <c r="J295" s="110" t="e">
        <f>J287</f>
        <v>#REF!</v>
      </c>
    </row>
    <row r="296" spans="1:10" s="55" customFormat="1" ht="17.100000000000001" hidden="1" customHeight="1">
      <c r="A296" s="50" t="e">
        <f t="shared" si="14"/>
        <v>#REF!</v>
      </c>
      <c r="B296" s="51"/>
      <c r="C296" s="51" t="s">
        <v>124</v>
      </c>
      <c r="D296" s="52" t="s">
        <v>0</v>
      </c>
      <c r="E296" s="112"/>
      <c r="F296" s="53"/>
      <c r="G296" s="117"/>
      <c r="H296" s="56">
        <f>ROUND(SUM(H297:H299),5)</f>
        <v>152872.22500000001</v>
      </c>
      <c r="I296" s="115"/>
      <c r="J296" s="110" t="e">
        <f>J287</f>
        <v>#REF!</v>
      </c>
    </row>
    <row r="297" spans="1:10" s="55" customFormat="1" ht="17.100000000000001" hidden="1" customHeight="1">
      <c r="A297" s="50" t="e">
        <f t="shared" si="14"/>
        <v>#REF!</v>
      </c>
      <c r="B297" s="51"/>
      <c r="C297" s="51" t="s">
        <v>436</v>
      </c>
      <c r="D297" s="52" t="s">
        <v>4</v>
      </c>
      <c r="E297" s="112">
        <f>0.94</f>
        <v>0.94</v>
      </c>
      <c r="F297" s="53">
        <f>'NC,M KS'!P28</f>
        <v>147060</v>
      </c>
      <c r="G297" s="117">
        <f>hsm</f>
        <v>1</v>
      </c>
      <c r="H297" s="54">
        <f>ROUND(E297*F297*G297,5)</f>
        <v>138236.4</v>
      </c>
      <c r="I297" s="114"/>
      <c r="J297" s="110" t="e">
        <f>J287</f>
        <v>#REF!</v>
      </c>
    </row>
    <row r="298" spans="1:10" s="55" customFormat="1" ht="17.100000000000001" hidden="1" customHeight="1">
      <c r="A298" s="50" t="e">
        <f t="shared" si="14"/>
        <v>#REF!</v>
      </c>
      <c r="B298" s="51"/>
      <c r="C298" s="51" t="s">
        <v>425</v>
      </c>
      <c r="D298" s="52" t="s">
        <v>4</v>
      </c>
      <c r="E298" s="112">
        <f>0.05</f>
        <v>0.05</v>
      </c>
      <c r="F298" s="53">
        <f>'NC,M KS'!P27</f>
        <v>14767</v>
      </c>
      <c r="G298" s="117">
        <f>hsm</f>
        <v>1</v>
      </c>
      <c r="H298" s="54">
        <f>ROUND(E298*F298*G298,5)</f>
        <v>738.35</v>
      </c>
      <c r="I298" s="114"/>
      <c r="J298" s="110" t="e">
        <f>J287</f>
        <v>#REF!</v>
      </c>
    </row>
    <row r="299" spans="1:10" s="55" customFormat="1" ht="17.100000000000001" hidden="1" customHeight="1">
      <c r="A299" s="50" t="e">
        <f t="shared" si="14"/>
        <v>#REF!</v>
      </c>
      <c r="B299" s="51"/>
      <c r="C299" s="51" t="s">
        <v>130</v>
      </c>
      <c r="D299" s="52" t="s">
        <v>126</v>
      </c>
      <c r="E299" s="112">
        <f>10</f>
        <v>10</v>
      </c>
      <c r="F299" s="53"/>
      <c r="G299" s="117"/>
      <c r="H299" s="54">
        <f>ROUND(SUM(H297:H298)*E299/100,5)</f>
        <v>13897.475</v>
      </c>
      <c r="I299" s="114"/>
      <c r="J299" s="110" t="e">
        <f>J287</f>
        <v>#REF!</v>
      </c>
    </row>
    <row r="300" spans="1:10" s="55" customFormat="1" ht="17.100000000000001" hidden="1" customHeight="1">
      <c r="A300" s="50" t="e">
        <f t="shared" si="14"/>
        <v>#REF!</v>
      </c>
      <c r="B300" s="51"/>
      <c r="C300" s="170" t="s">
        <v>556</v>
      </c>
      <c r="D300" s="171" t="s">
        <v>136</v>
      </c>
      <c r="E300" s="172" t="s">
        <v>205</v>
      </c>
      <c r="F300" s="53"/>
      <c r="G300" s="117"/>
      <c r="H300" s="173" t="e">
        <f>ROUND(H289+H293+H296,5)</f>
        <v>#REF!</v>
      </c>
      <c r="I300" s="114"/>
      <c r="J300" s="110" t="e">
        <f>J287</f>
        <v>#REF!</v>
      </c>
    </row>
    <row r="301" spans="1:10" s="55" customFormat="1" ht="17.100000000000001" hidden="1" customHeight="1">
      <c r="A301" s="50" t="e">
        <f t="shared" si="14"/>
        <v>#REF!</v>
      </c>
      <c r="B301" s="51"/>
      <c r="C301" s="170" t="s">
        <v>557</v>
      </c>
      <c r="D301" s="171" t="s">
        <v>204</v>
      </c>
      <c r="E301" s="172" t="s">
        <v>558</v>
      </c>
      <c r="F301" s="53"/>
      <c r="G301" s="117"/>
      <c r="H301" s="173" t="e">
        <f>SUM(H302:H303)</f>
        <v>#REF!</v>
      </c>
      <c r="I301" s="114"/>
      <c r="J301" s="110" t="e">
        <f>J287</f>
        <v>#REF!</v>
      </c>
    </row>
    <row r="302" spans="1:10" s="55" customFormat="1" ht="17.100000000000001" hidden="1" customHeight="1">
      <c r="A302" s="50" t="e">
        <f t="shared" si="14"/>
        <v>#REF!</v>
      </c>
      <c r="B302" s="51"/>
      <c r="C302" s="51" t="s">
        <v>426</v>
      </c>
      <c r="D302" s="52" t="s">
        <v>559</v>
      </c>
      <c r="E302" s="116">
        <f>cpc</f>
        <v>0.7</v>
      </c>
      <c r="F302" s="174"/>
      <c r="G302" s="175"/>
      <c r="H302" s="54" t="e">
        <f>E302*H293</f>
        <v>#REF!</v>
      </c>
      <c r="I302" s="114"/>
      <c r="J302" s="110" t="e">
        <f>J287</f>
        <v>#REF!</v>
      </c>
    </row>
    <row r="303" spans="1:10" s="55" customFormat="1" ht="30" hidden="1">
      <c r="A303" s="50" t="e">
        <f t="shared" si="14"/>
        <v>#REF!</v>
      </c>
      <c r="B303" s="51"/>
      <c r="C303" s="78" t="s">
        <v>560</v>
      </c>
      <c r="D303" s="79" t="s">
        <v>561</v>
      </c>
      <c r="E303" s="176">
        <f>hmc</f>
        <v>0.05</v>
      </c>
      <c r="F303" s="53"/>
      <c r="G303" s="113"/>
      <c r="H303" s="54" t="e">
        <f>E303*H300</f>
        <v>#REF!</v>
      </c>
      <c r="I303" s="114"/>
      <c r="J303" s="110" t="e">
        <f>J287</f>
        <v>#REF!</v>
      </c>
    </row>
    <row r="304" spans="1:10" s="55" customFormat="1" ht="17.100000000000001" hidden="1" customHeight="1">
      <c r="A304" s="50" t="e">
        <f t="shared" si="14"/>
        <v>#REF!</v>
      </c>
      <c r="B304" s="51"/>
      <c r="C304" s="170" t="s">
        <v>562</v>
      </c>
      <c r="D304" s="171" t="s">
        <v>563</v>
      </c>
      <c r="E304" s="179">
        <f>tn</f>
        <v>0.06</v>
      </c>
      <c r="F304" s="177"/>
      <c r="G304" s="178"/>
      <c r="H304" s="181" t="e">
        <f>SUM(H300:H301)*E304</f>
        <v>#REF!</v>
      </c>
      <c r="I304" s="114"/>
      <c r="J304" s="110" t="e">
        <f>J287</f>
        <v>#REF!</v>
      </c>
    </row>
    <row r="305" spans="1:10" s="55" customFormat="1" ht="17.100000000000001" hidden="1" customHeight="1">
      <c r="A305" s="50" t="e">
        <f t="shared" si="14"/>
        <v>#REF!</v>
      </c>
      <c r="B305" s="51"/>
      <c r="C305" s="92" t="s">
        <v>1879</v>
      </c>
      <c r="D305" s="171" t="s">
        <v>227</v>
      </c>
      <c r="E305" s="180" t="s">
        <v>564</v>
      </c>
      <c r="F305" s="174"/>
      <c r="G305" s="175"/>
      <c r="H305" s="173" t="e">
        <f>SUM(H306:H307)</f>
        <v>#REF!</v>
      </c>
      <c r="I305" s="114"/>
      <c r="J305" s="110" t="e">
        <f>J287</f>
        <v>#REF!</v>
      </c>
    </row>
    <row r="306" spans="1:10" s="55" customFormat="1" ht="17.100000000000001" hidden="1" customHeight="1">
      <c r="A306" s="50" t="e">
        <f t="shared" si="14"/>
        <v>#REF!</v>
      </c>
      <c r="B306" s="51"/>
      <c r="C306" s="51" t="s">
        <v>427</v>
      </c>
      <c r="D306" s="52" t="s">
        <v>428</v>
      </c>
      <c r="E306" s="1093">
        <f>paks</f>
        <v>0</v>
      </c>
      <c r="F306" s="174"/>
      <c r="G306" s="175"/>
      <c r="H306" s="54" t="e">
        <f>(H300+H301+H304)*E306</f>
        <v>#REF!</v>
      </c>
      <c r="I306" s="114"/>
      <c r="J306" s="110" t="e">
        <f>J287</f>
        <v>#REF!</v>
      </c>
    </row>
    <row r="307" spans="1:10" s="55" customFormat="1" ht="17.100000000000001" hidden="1" customHeight="1">
      <c r="A307" s="50" t="e">
        <f t="shared" si="14"/>
        <v>#REF!</v>
      </c>
      <c r="B307" s="51"/>
      <c r="C307" s="51" t="s">
        <v>429</v>
      </c>
      <c r="D307" s="52" t="s">
        <v>430</v>
      </c>
      <c r="E307" s="1093">
        <f>bcks</f>
        <v>0.03</v>
      </c>
      <c r="F307" s="53"/>
      <c r="G307" s="113"/>
      <c r="H307" s="54" t="e">
        <f>(H300+H301+H304)*E307</f>
        <v>#REF!</v>
      </c>
      <c r="I307" s="114"/>
      <c r="J307" s="110" t="e">
        <f>J287</f>
        <v>#REF!</v>
      </c>
    </row>
    <row r="308" spans="1:10" s="55" customFormat="1" ht="17.100000000000001" hidden="1" customHeight="1">
      <c r="A308" s="50" t="e">
        <f t="shared" si="14"/>
        <v>#REF!</v>
      </c>
      <c r="B308" s="51"/>
      <c r="C308" s="170" t="s">
        <v>565</v>
      </c>
      <c r="D308" s="171" t="s">
        <v>218</v>
      </c>
      <c r="E308" s="172" t="s">
        <v>566</v>
      </c>
      <c r="F308" s="53"/>
      <c r="G308" s="113"/>
      <c r="H308" s="173" t="e">
        <f>H300+H301+H304+H305</f>
        <v>#REF!</v>
      </c>
      <c r="I308" s="114"/>
      <c r="J308" s="715" t="e">
        <f>J287</f>
        <v>#REF!</v>
      </c>
    </row>
    <row r="309" spans="1:10" s="55" customFormat="1" ht="17.100000000000001" hidden="1" customHeight="1">
      <c r="A309" s="50" t="e">
        <f t="shared" si="14"/>
        <v>#REF!</v>
      </c>
      <c r="B309" s="51"/>
      <c r="C309" s="51" t="s">
        <v>567</v>
      </c>
      <c r="D309" s="52" t="s">
        <v>222</v>
      </c>
      <c r="E309" s="112" t="s">
        <v>1917</v>
      </c>
      <c r="F309" s="174"/>
      <c r="G309" s="175"/>
      <c r="H309" s="54" t="e">
        <f>ROUND(H308*10/100,5)</f>
        <v>#REF!</v>
      </c>
      <c r="I309" s="114"/>
      <c r="J309" s="715" t="e">
        <f>J287</f>
        <v>#REF!</v>
      </c>
    </row>
    <row r="310" spans="1:10" s="55" customFormat="1" ht="17.100000000000001" hidden="1" customHeight="1">
      <c r="A310" s="50" t="e">
        <f t="shared" si="14"/>
        <v>#REF!</v>
      </c>
      <c r="B310" s="51"/>
      <c r="C310" s="170" t="s">
        <v>568</v>
      </c>
      <c r="D310" s="171" t="s">
        <v>225</v>
      </c>
      <c r="E310" s="172" t="s">
        <v>192</v>
      </c>
      <c r="F310" s="53"/>
      <c r="G310" s="117"/>
      <c r="H310" s="56" t="e">
        <f>ROUND(H308+H309,5)</f>
        <v>#REF!</v>
      </c>
      <c r="I310" s="115"/>
      <c r="J310" s="715" t="e">
        <f>J287</f>
        <v>#REF!</v>
      </c>
    </row>
    <row r="311" spans="1:10" s="263" customFormat="1" ht="17.100000000000001" customHeight="1">
      <c r="A311" s="264" t="e">
        <f t="shared" si="14"/>
        <v>#REF!</v>
      </c>
      <c r="B311" s="265" t="s">
        <v>359</v>
      </c>
      <c r="C311" s="265" t="s">
        <v>357</v>
      </c>
      <c r="D311" s="266" t="s">
        <v>308</v>
      </c>
      <c r="E311" s="270"/>
      <c r="F311" s="267"/>
      <c r="G311" s="271"/>
      <c r="H311" s="268" t="e">
        <f>H334</f>
        <v>#REF!</v>
      </c>
      <c r="I311" s="272"/>
      <c r="J311" s="273" t="e">
        <f>IF(SUMIF(Khaosat!$B$6:$B$47,'PT giaKS'!B311,Khaosat!$I$6:$I$47)&lt;&gt;0,$J$6,0)</f>
        <v>#REF!</v>
      </c>
    </row>
    <row r="312" spans="1:10" s="55" customFormat="1" ht="17.100000000000001" customHeight="1">
      <c r="A312" s="295" t="e">
        <f t="shared" si="14"/>
        <v>#REF!</v>
      </c>
      <c r="B312" s="51"/>
      <c r="C312" s="51" t="s">
        <v>360</v>
      </c>
      <c r="D312" s="52" t="s">
        <v>0</v>
      </c>
      <c r="E312" s="112"/>
      <c r="F312" s="53"/>
      <c r="G312" s="117"/>
      <c r="H312" s="54"/>
      <c r="I312" s="114"/>
      <c r="J312" s="110" t="e">
        <f>J311</f>
        <v>#REF!</v>
      </c>
    </row>
    <row r="313" spans="1:10" s="55" customFormat="1" ht="17.100000000000001" customHeight="1">
      <c r="A313" s="295" t="e">
        <f t="shared" si="14"/>
        <v>#REF!</v>
      </c>
      <c r="B313" s="51"/>
      <c r="C313" s="51" t="s">
        <v>128</v>
      </c>
      <c r="D313" s="52" t="s">
        <v>0</v>
      </c>
      <c r="E313" s="112"/>
      <c r="F313" s="53"/>
      <c r="G313" s="117"/>
      <c r="H313" s="56">
        <f>ROUND(SUM(H314:H316),5)</f>
        <v>23690</v>
      </c>
      <c r="I313" s="115"/>
      <c r="J313" s="110" t="e">
        <f>J311</f>
        <v>#REF!</v>
      </c>
    </row>
    <row r="314" spans="1:10" s="55" customFormat="1" ht="17.100000000000001" customHeight="1">
      <c r="A314" s="295" t="e">
        <f t="shared" si="14"/>
        <v>#REF!</v>
      </c>
      <c r="B314" s="51"/>
      <c r="C314" s="51" t="s">
        <v>438</v>
      </c>
      <c r="D314" s="52" t="s">
        <v>439</v>
      </c>
      <c r="E314" s="112">
        <f>3</f>
        <v>3</v>
      </c>
      <c r="F314" s="53">
        <f>VLKS!Q22</f>
        <v>5000</v>
      </c>
      <c r="G314" s="117">
        <f>hsvl</f>
        <v>1</v>
      </c>
      <c r="H314" s="54">
        <f>ROUND(E314*F314*G314,5)</f>
        <v>15000</v>
      </c>
      <c r="I314" s="114"/>
      <c r="J314" s="110" t="e">
        <f>J311</f>
        <v>#REF!</v>
      </c>
    </row>
    <row r="315" spans="1:10" s="55" customFormat="1" ht="17.100000000000001" customHeight="1">
      <c r="A315" s="295" t="e">
        <f t="shared" si="14"/>
        <v>#REF!</v>
      </c>
      <c r="B315" s="51"/>
      <c r="C315" s="51" t="s">
        <v>421</v>
      </c>
      <c r="D315" s="52" t="s">
        <v>422</v>
      </c>
      <c r="E315" s="112">
        <f>0.7</f>
        <v>0.7</v>
      </c>
      <c r="F315" s="53">
        <f>VLKS!Q51</f>
        <v>8000</v>
      </c>
      <c r="G315" s="117">
        <f>hsvl</f>
        <v>1</v>
      </c>
      <c r="H315" s="54">
        <f>ROUND(E315*F315*G315,5)</f>
        <v>5600</v>
      </c>
      <c r="I315" s="114"/>
      <c r="J315" s="110" t="e">
        <f>J311</f>
        <v>#REF!</v>
      </c>
    </row>
    <row r="316" spans="1:10" s="55" customFormat="1" ht="17.100000000000001" customHeight="1">
      <c r="A316" s="295" t="e">
        <f t="shared" si="14"/>
        <v>#REF!</v>
      </c>
      <c r="B316" s="51"/>
      <c r="C316" s="51" t="s">
        <v>127</v>
      </c>
      <c r="D316" s="52" t="s">
        <v>126</v>
      </c>
      <c r="E316" s="112">
        <f>15</f>
        <v>15</v>
      </c>
      <c r="F316" s="53"/>
      <c r="G316" s="117"/>
      <c r="H316" s="54">
        <f>ROUND(SUM(H314:H315)*E316/100,5)</f>
        <v>3090</v>
      </c>
      <c r="I316" s="114"/>
      <c r="J316" s="110" t="e">
        <f>J311</f>
        <v>#REF!</v>
      </c>
    </row>
    <row r="317" spans="1:10" s="55" customFormat="1" ht="17.100000000000001" customHeight="1">
      <c r="A317" s="295" t="e">
        <f t="shared" si="14"/>
        <v>#REF!</v>
      </c>
      <c r="B317" s="51"/>
      <c r="C317" s="51" t="s">
        <v>125</v>
      </c>
      <c r="D317" s="52" t="s">
        <v>0</v>
      </c>
      <c r="E317" s="112"/>
      <c r="F317" s="53"/>
      <c r="G317" s="117"/>
      <c r="H317" s="56" t="e">
        <f>ROUND(SUM(H318:H319),5)</f>
        <v>#REF!</v>
      </c>
      <c r="I317" s="115"/>
      <c r="J317" s="110" t="e">
        <f>J311</f>
        <v>#REF!</v>
      </c>
    </row>
    <row r="318" spans="1:10" s="55" customFormat="1" ht="17.100000000000001" customHeight="1">
      <c r="A318" s="295" t="e">
        <f t="shared" si="14"/>
        <v>#REF!</v>
      </c>
      <c r="B318" s="51"/>
      <c r="C318" s="51" t="s">
        <v>423</v>
      </c>
      <c r="D318" s="52" t="s">
        <v>3</v>
      </c>
      <c r="E318" s="112">
        <f>2.4</f>
        <v>2.4</v>
      </c>
      <c r="F318" s="53" t="e">
        <f>'NC,M KS'!P4</f>
        <v>#REF!</v>
      </c>
      <c r="G318" s="117">
        <f>hsnc</f>
        <v>1</v>
      </c>
      <c r="H318" s="54" t="e">
        <f>ROUND(E318*F318*G318,5)</f>
        <v>#REF!</v>
      </c>
      <c r="I318" s="114"/>
      <c r="J318" s="110" t="e">
        <f>J311</f>
        <v>#REF!</v>
      </c>
    </row>
    <row r="319" spans="1:10" s="55" customFormat="1" ht="17.100000000000001" customHeight="1">
      <c r="A319" s="295" t="e">
        <f t="shared" si="14"/>
        <v>#REF!</v>
      </c>
      <c r="B319" s="51"/>
      <c r="C319" s="51" t="s">
        <v>424</v>
      </c>
      <c r="D319" s="52" t="s">
        <v>3</v>
      </c>
      <c r="E319" s="112">
        <f>7.28</f>
        <v>7.28</v>
      </c>
      <c r="F319" s="53" t="e">
        <f>'NC,M KS'!P6</f>
        <v>#REF!</v>
      </c>
      <c r="G319" s="117">
        <f>hsnc</f>
        <v>1</v>
      </c>
      <c r="H319" s="54" t="e">
        <f>ROUND(E319*F319*G319,5)</f>
        <v>#REF!</v>
      </c>
      <c r="I319" s="114"/>
      <c r="J319" s="110" t="e">
        <f>J311</f>
        <v>#REF!</v>
      </c>
    </row>
    <row r="320" spans="1:10" s="55" customFormat="1" ht="17.100000000000001" customHeight="1">
      <c r="A320" s="295" t="e">
        <f t="shared" si="14"/>
        <v>#REF!</v>
      </c>
      <c r="B320" s="51"/>
      <c r="C320" s="51" t="s">
        <v>124</v>
      </c>
      <c r="D320" s="52" t="s">
        <v>0</v>
      </c>
      <c r="E320" s="112"/>
      <c r="F320" s="53"/>
      <c r="G320" s="117"/>
      <c r="H320" s="56">
        <f>ROUND(SUM(H321:H323),5)</f>
        <v>214343.30499999999</v>
      </c>
      <c r="I320" s="115"/>
      <c r="J320" s="110" t="e">
        <f>J311</f>
        <v>#REF!</v>
      </c>
    </row>
    <row r="321" spans="1:10" s="55" customFormat="1" ht="17.100000000000001" customHeight="1">
      <c r="A321" s="295" t="e">
        <f t="shared" si="14"/>
        <v>#REF!</v>
      </c>
      <c r="B321" s="51"/>
      <c r="C321" s="51" t="s">
        <v>436</v>
      </c>
      <c r="D321" s="52" t="s">
        <v>4</v>
      </c>
      <c r="E321" s="112">
        <f>1.32</f>
        <v>1.32</v>
      </c>
      <c r="F321" s="53">
        <f>'NC,M KS'!P28</f>
        <v>147060</v>
      </c>
      <c r="G321" s="117">
        <f>hsm</f>
        <v>1</v>
      </c>
      <c r="H321" s="54">
        <f>ROUND(E321*F321*G321,5)</f>
        <v>194119.2</v>
      </c>
      <c r="I321" s="114"/>
      <c r="J321" s="110" t="e">
        <f>J311</f>
        <v>#REF!</v>
      </c>
    </row>
    <row r="322" spans="1:10" s="55" customFormat="1" ht="17.100000000000001" customHeight="1">
      <c r="A322" s="295" t="e">
        <f t="shared" si="14"/>
        <v>#REF!</v>
      </c>
      <c r="B322" s="51"/>
      <c r="C322" s="51" t="s">
        <v>425</v>
      </c>
      <c r="D322" s="52" t="s">
        <v>4</v>
      </c>
      <c r="E322" s="112">
        <f>0.05</f>
        <v>0.05</v>
      </c>
      <c r="F322" s="53">
        <f>'NC,M KS'!P27</f>
        <v>14767</v>
      </c>
      <c r="G322" s="117">
        <f>hsm</f>
        <v>1</v>
      </c>
      <c r="H322" s="54">
        <f>ROUND(E322*F322*G322,5)</f>
        <v>738.35</v>
      </c>
      <c r="I322" s="114"/>
      <c r="J322" s="110" t="e">
        <f>J311</f>
        <v>#REF!</v>
      </c>
    </row>
    <row r="323" spans="1:10" s="55" customFormat="1" ht="17.100000000000001" customHeight="1">
      <c r="A323" s="295" t="e">
        <f t="shared" si="14"/>
        <v>#REF!</v>
      </c>
      <c r="B323" s="51"/>
      <c r="C323" s="51" t="s">
        <v>130</v>
      </c>
      <c r="D323" s="52" t="s">
        <v>126</v>
      </c>
      <c r="E323" s="112">
        <f>10</f>
        <v>10</v>
      </c>
      <c r="F323" s="53"/>
      <c r="G323" s="117"/>
      <c r="H323" s="54">
        <f>ROUND(SUM(H321:H322)*E323/100,5)</f>
        <v>19485.755000000001</v>
      </c>
      <c r="I323" s="114"/>
      <c r="J323" s="110" t="e">
        <f>J311</f>
        <v>#REF!</v>
      </c>
    </row>
    <row r="324" spans="1:10" s="55" customFormat="1" ht="17.100000000000001" customHeight="1">
      <c r="A324" s="295" t="e">
        <f t="shared" si="14"/>
        <v>#REF!</v>
      </c>
      <c r="B324" s="51"/>
      <c r="C324" s="170" t="s">
        <v>556</v>
      </c>
      <c r="D324" s="171" t="s">
        <v>136</v>
      </c>
      <c r="E324" s="172" t="s">
        <v>205</v>
      </c>
      <c r="F324" s="53"/>
      <c r="G324" s="117"/>
      <c r="H324" s="173" t="e">
        <f>ROUND(H313+H317+H320,5)</f>
        <v>#REF!</v>
      </c>
      <c r="I324" s="114"/>
      <c r="J324" s="110" t="e">
        <f>J311</f>
        <v>#REF!</v>
      </c>
    </row>
    <row r="325" spans="1:10" s="55" customFormat="1" ht="17.100000000000001" customHeight="1">
      <c r="A325" s="295" t="e">
        <f t="shared" si="14"/>
        <v>#REF!</v>
      </c>
      <c r="B325" s="51"/>
      <c r="C325" s="170" t="s">
        <v>557</v>
      </c>
      <c r="D325" s="171" t="s">
        <v>204</v>
      </c>
      <c r="E325" s="172" t="s">
        <v>558</v>
      </c>
      <c r="F325" s="53"/>
      <c r="G325" s="117"/>
      <c r="H325" s="173" t="e">
        <f>SUM(H326:H327)</f>
        <v>#REF!</v>
      </c>
      <c r="I325" s="114"/>
      <c r="J325" s="110" t="e">
        <f>J311</f>
        <v>#REF!</v>
      </c>
    </row>
    <row r="326" spans="1:10" s="55" customFormat="1" ht="17.100000000000001" customHeight="1">
      <c r="A326" s="295" t="e">
        <f t="shared" si="14"/>
        <v>#REF!</v>
      </c>
      <c r="B326" s="51"/>
      <c r="C326" s="51" t="s">
        <v>426</v>
      </c>
      <c r="D326" s="52" t="s">
        <v>559</v>
      </c>
      <c r="E326" s="116">
        <f>cpc</f>
        <v>0.7</v>
      </c>
      <c r="F326" s="174"/>
      <c r="G326" s="175"/>
      <c r="H326" s="54" t="e">
        <f>E326*H317</f>
        <v>#REF!</v>
      </c>
      <c r="I326" s="114"/>
      <c r="J326" s="110" t="e">
        <f>J311</f>
        <v>#REF!</v>
      </c>
    </row>
    <row r="327" spans="1:10" s="55" customFormat="1" ht="17.100000000000001" customHeight="1">
      <c r="A327" s="295" t="e">
        <f t="shared" si="14"/>
        <v>#REF!</v>
      </c>
      <c r="B327" s="51"/>
      <c r="C327" s="78" t="s">
        <v>560</v>
      </c>
      <c r="D327" s="79" t="s">
        <v>561</v>
      </c>
      <c r="E327" s="176">
        <f>hmc</f>
        <v>0.05</v>
      </c>
      <c r="F327" s="53"/>
      <c r="G327" s="113"/>
      <c r="H327" s="54" t="e">
        <f>E327*H324</f>
        <v>#REF!</v>
      </c>
      <c r="I327" s="114"/>
      <c r="J327" s="110" t="e">
        <f>J311</f>
        <v>#REF!</v>
      </c>
    </row>
    <row r="328" spans="1:10" s="55" customFormat="1" ht="17.100000000000001" customHeight="1">
      <c r="A328" s="295" t="e">
        <f t="shared" si="14"/>
        <v>#REF!</v>
      </c>
      <c r="B328" s="51"/>
      <c r="C328" s="170" t="s">
        <v>562</v>
      </c>
      <c r="D328" s="171" t="s">
        <v>563</v>
      </c>
      <c r="E328" s="179">
        <f>tn</f>
        <v>0.06</v>
      </c>
      <c r="F328" s="177"/>
      <c r="G328" s="178"/>
      <c r="H328" s="181" t="e">
        <f>SUM(H324:H325)*E328</f>
        <v>#REF!</v>
      </c>
      <c r="I328" s="114"/>
      <c r="J328" s="110" t="e">
        <f>J311</f>
        <v>#REF!</v>
      </c>
    </row>
    <row r="329" spans="1:10" s="55" customFormat="1" ht="17.100000000000001" customHeight="1">
      <c r="A329" s="295" t="e">
        <f t="shared" ref="A329:A392" si="15">IF(B329&lt;&gt;0,A328+J329,A328)</f>
        <v>#REF!</v>
      </c>
      <c r="B329" s="51"/>
      <c r="C329" s="92" t="s">
        <v>1879</v>
      </c>
      <c r="D329" s="171" t="s">
        <v>227</v>
      </c>
      <c r="E329" s="180" t="s">
        <v>564</v>
      </c>
      <c r="F329" s="174"/>
      <c r="G329" s="175"/>
      <c r="H329" s="173" t="e">
        <f>SUM(H330:H331)</f>
        <v>#REF!</v>
      </c>
      <c r="I329" s="114"/>
      <c r="J329" s="110" t="e">
        <f>J311</f>
        <v>#REF!</v>
      </c>
    </row>
    <row r="330" spans="1:10" s="55" customFormat="1" ht="17.100000000000001" customHeight="1">
      <c r="A330" s="295" t="e">
        <f t="shared" si="15"/>
        <v>#REF!</v>
      </c>
      <c r="B330" s="51"/>
      <c r="C330" s="51" t="s">
        <v>427</v>
      </c>
      <c r="D330" s="52" t="s">
        <v>428</v>
      </c>
      <c r="E330" s="1093">
        <f>paks</f>
        <v>0</v>
      </c>
      <c r="F330" s="174"/>
      <c r="G330" s="175"/>
      <c r="H330" s="54" t="e">
        <f>(H324+H325+H328)*E330</f>
        <v>#REF!</v>
      </c>
      <c r="I330" s="114"/>
      <c r="J330" s="110" t="e">
        <f>J311</f>
        <v>#REF!</v>
      </c>
    </row>
    <row r="331" spans="1:10" s="55" customFormat="1" ht="17.100000000000001" customHeight="1">
      <c r="A331" s="295" t="e">
        <f t="shared" si="15"/>
        <v>#REF!</v>
      </c>
      <c r="B331" s="51"/>
      <c r="C331" s="51" t="s">
        <v>429</v>
      </c>
      <c r="D331" s="52" t="s">
        <v>430</v>
      </c>
      <c r="E331" s="1093">
        <f>bcks</f>
        <v>0.03</v>
      </c>
      <c r="F331" s="53"/>
      <c r="G331" s="113"/>
      <c r="H331" s="54" t="e">
        <f>(H324+H325+H328)*E331</f>
        <v>#REF!</v>
      </c>
      <c r="I331" s="114"/>
      <c r="J331" s="110" t="e">
        <f>J311</f>
        <v>#REF!</v>
      </c>
    </row>
    <row r="332" spans="1:10" s="55" customFormat="1" ht="17.100000000000001" customHeight="1">
      <c r="A332" s="295" t="e">
        <f t="shared" si="15"/>
        <v>#REF!</v>
      </c>
      <c r="B332" s="51"/>
      <c r="C332" s="170" t="s">
        <v>565</v>
      </c>
      <c r="D332" s="171" t="s">
        <v>218</v>
      </c>
      <c r="E332" s="172" t="s">
        <v>566</v>
      </c>
      <c r="F332" s="53"/>
      <c r="G332" s="113"/>
      <c r="H332" s="173" t="e">
        <f>H324+H325+H328+H329</f>
        <v>#REF!</v>
      </c>
      <c r="I332" s="114"/>
      <c r="J332" s="715" t="e">
        <f>J311</f>
        <v>#REF!</v>
      </c>
    </row>
    <row r="333" spans="1:10" s="55" customFormat="1" ht="17.100000000000001" customHeight="1">
      <c r="A333" s="295" t="e">
        <f t="shared" si="15"/>
        <v>#REF!</v>
      </c>
      <c r="B333" s="51"/>
      <c r="C333" s="51" t="s">
        <v>567</v>
      </c>
      <c r="D333" s="52" t="s">
        <v>222</v>
      </c>
      <c r="E333" s="112" t="s">
        <v>1917</v>
      </c>
      <c r="F333" s="174"/>
      <c r="G333" s="175"/>
      <c r="H333" s="54" t="e">
        <f>ROUND(H332*10/100,5)</f>
        <v>#REF!</v>
      </c>
      <c r="I333" s="114"/>
      <c r="J333" s="715" t="e">
        <f>J311</f>
        <v>#REF!</v>
      </c>
    </row>
    <row r="334" spans="1:10" s="55" customFormat="1" ht="17.100000000000001" customHeight="1">
      <c r="A334" s="295" t="e">
        <f t="shared" si="15"/>
        <v>#REF!</v>
      </c>
      <c r="B334" s="51"/>
      <c r="C334" s="170" t="s">
        <v>568</v>
      </c>
      <c r="D334" s="171" t="s">
        <v>225</v>
      </c>
      <c r="E334" s="172" t="s">
        <v>192</v>
      </c>
      <c r="F334" s="53"/>
      <c r="G334" s="117"/>
      <c r="H334" s="56" t="e">
        <f>ROUND(H332+H333,5)</f>
        <v>#REF!</v>
      </c>
      <c r="I334" s="115"/>
      <c r="J334" s="715" t="e">
        <f>J311</f>
        <v>#REF!</v>
      </c>
    </row>
    <row r="335" spans="1:10" s="263" customFormat="1" ht="17.100000000000001" hidden="1" customHeight="1">
      <c r="A335" s="264" t="e">
        <f t="shared" si="15"/>
        <v>#REF!</v>
      </c>
      <c r="B335" s="265" t="s">
        <v>321</v>
      </c>
      <c r="C335" s="265" t="s">
        <v>357</v>
      </c>
      <c r="D335" s="266" t="s">
        <v>308</v>
      </c>
      <c r="E335" s="270"/>
      <c r="F335" s="267"/>
      <c r="G335" s="271"/>
      <c r="H335" s="268" t="e">
        <f>H358</f>
        <v>#REF!</v>
      </c>
      <c r="I335" s="272"/>
      <c r="J335" s="273" t="e">
        <f>IF(SUMIF(Khaosat!$B$6:$B$47,'PT giaKS'!B335,Khaosat!$I$6:$I$47)&lt;&gt;0,$J$6,0)</f>
        <v>#REF!</v>
      </c>
    </row>
    <row r="336" spans="1:10" s="55" customFormat="1" ht="17.100000000000001" hidden="1" customHeight="1">
      <c r="A336" s="50" t="e">
        <f t="shared" si="15"/>
        <v>#REF!</v>
      </c>
      <c r="B336" s="51"/>
      <c r="C336" s="51" t="s">
        <v>365</v>
      </c>
      <c r="D336" s="52" t="s">
        <v>0</v>
      </c>
      <c r="E336" s="112"/>
      <c r="F336" s="53"/>
      <c r="G336" s="117"/>
      <c r="H336" s="54"/>
      <c r="I336" s="114"/>
      <c r="J336" s="110" t="e">
        <f>J335</f>
        <v>#REF!</v>
      </c>
    </row>
    <row r="337" spans="1:10" s="55" customFormat="1" ht="17.100000000000001" hidden="1" customHeight="1">
      <c r="A337" s="50" t="e">
        <f t="shared" si="15"/>
        <v>#REF!</v>
      </c>
      <c r="B337" s="51"/>
      <c r="C337" s="51" t="s">
        <v>128</v>
      </c>
      <c r="D337" s="52" t="s">
        <v>0</v>
      </c>
      <c r="E337" s="112"/>
      <c r="F337" s="53"/>
      <c r="G337" s="117"/>
      <c r="H337" s="56">
        <f>ROUND(SUM(H338:H340),5)</f>
        <v>30360</v>
      </c>
      <c r="I337" s="115"/>
      <c r="J337" s="110" t="e">
        <f>J335</f>
        <v>#REF!</v>
      </c>
    </row>
    <row r="338" spans="1:10" s="55" customFormat="1" ht="17.100000000000001" hidden="1" customHeight="1">
      <c r="A338" s="50" t="e">
        <f t="shared" si="15"/>
        <v>#REF!</v>
      </c>
      <c r="B338" s="51"/>
      <c r="C338" s="51" t="s">
        <v>438</v>
      </c>
      <c r="D338" s="52" t="s">
        <v>439</v>
      </c>
      <c r="E338" s="112">
        <f>4</f>
        <v>4</v>
      </c>
      <c r="F338" s="53">
        <f>VLKS!Q22</f>
        <v>5000</v>
      </c>
      <c r="G338" s="117">
        <f>hsvl</f>
        <v>1</v>
      </c>
      <c r="H338" s="54">
        <f>ROUND(E338*F338*G338,5)</f>
        <v>20000</v>
      </c>
      <c r="I338" s="114"/>
      <c r="J338" s="110" t="e">
        <f>J335</f>
        <v>#REF!</v>
      </c>
    </row>
    <row r="339" spans="1:10" s="55" customFormat="1" ht="17.100000000000001" hidden="1" customHeight="1">
      <c r="A339" s="50" t="e">
        <f t="shared" si="15"/>
        <v>#REF!</v>
      </c>
      <c r="B339" s="51"/>
      <c r="C339" s="51" t="s">
        <v>421</v>
      </c>
      <c r="D339" s="52" t="s">
        <v>422</v>
      </c>
      <c r="E339" s="112">
        <f>0.8</f>
        <v>0.8</v>
      </c>
      <c r="F339" s="53">
        <f>VLKS!Q51</f>
        <v>8000</v>
      </c>
      <c r="G339" s="117">
        <f>hsvl</f>
        <v>1</v>
      </c>
      <c r="H339" s="54">
        <f>ROUND(E339*F339*G339,5)</f>
        <v>6400</v>
      </c>
      <c r="I339" s="114"/>
      <c r="J339" s="110" t="e">
        <f>J335</f>
        <v>#REF!</v>
      </c>
    </row>
    <row r="340" spans="1:10" s="55" customFormat="1" ht="17.100000000000001" hidden="1" customHeight="1">
      <c r="A340" s="50" t="e">
        <f t="shared" si="15"/>
        <v>#REF!</v>
      </c>
      <c r="B340" s="51"/>
      <c r="C340" s="51" t="s">
        <v>127</v>
      </c>
      <c r="D340" s="52" t="s">
        <v>126</v>
      </c>
      <c r="E340" s="112">
        <f>15</f>
        <v>15</v>
      </c>
      <c r="F340" s="53"/>
      <c r="G340" s="117"/>
      <c r="H340" s="54">
        <f>ROUND(SUM(H338:H339)*E340/100,5)</f>
        <v>3960</v>
      </c>
      <c r="I340" s="114"/>
      <c r="J340" s="110" t="e">
        <f>J335</f>
        <v>#REF!</v>
      </c>
    </row>
    <row r="341" spans="1:10" s="55" customFormat="1" ht="17.100000000000001" hidden="1" customHeight="1">
      <c r="A341" s="50" t="e">
        <f t="shared" si="15"/>
        <v>#REF!</v>
      </c>
      <c r="B341" s="51"/>
      <c r="C341" s="51" t="s">
        <v>125</v>
      </c>
      <c r="D341" s="52" t="s">
        <v>0</v>
      </c>
      <c r="E341" s="112"/>
      <c r="F341" s="53"/>
      <c r="G341" s="117"/>
      <c r="H341" s="56" t="e">
        <f>ROUND(SUM(H342:H343),5)</f>
        <v>#REF!</v>
      </c>
      <c r="I341" s="115"/>
      <c r="J341" s="110" t="e">
        <f>J335</f>
        <v>#REF!</v>
      </c>
    </row>
    <row r="342" spans="1:10" s="55" customFormat="1" ht="17.100000000000001" hidden="1" customHeight="1">
      <c r="A342" s="50" t="e">
        <f t="shared" si="15"/>
        <v>#REF!</v>
      </c>
      <c r="B342" s="51"/>
      <c r="C342" s="51" t="s">
        <v>423</v>
      </c>
      <c r="D342" s="52" t="s">
        <v>3</v>
      </c>
      <c r="E342" s="112">
        <f>3.35</f>
        <v>3.35</v>
      </c>
      <c r="F342" s="53" t="e">
        <f>'NC,M KS'!P4</f>
        <v>#REF!</v>
      </c>
      <c r="G342" s="117">
        <f>hsnc</f>
        <v>1</v>
      </c>
      <c r="H342" s="54" t="e">
        <f>ROUND(E342*F342*G342,5)</f>
        <v>#REF!</v>
      </c>
      <c r="I342" s="114"/>
      <c r="J342" s="110" t="e">
        <f>J335</f>
        <v>#REF!</v>
      </c>
    </row>
    <row r="343" spans="1:10" s="55" customFormat="1" ht="17.100000000000001" hidden="1" customHeight="1">
      <c r="A343" s="50" t="e">
        <f t="shared" si="15"/>
        <v>#REF!</v>
      </c>
      <c r="B343" s="51"/>
      <c r="C343" s="51" t="s">
        <v>424</v>
      </c>
      <c r="D343" s="52" t="s">
        <v>3</v>
      </c>
      <c r="E343" s="112">
        <f>10.32</f>
        <v>10.32</v>
      </c>
      <c r="F343" s="53" t="e">
        <f>'NC,M KS'!P6</f>
        <v>#REF!</v>
      </c>
      <c r="G343" s="117">
        <f>hsnc</f>
        <v>1</v>
      </c>
      <c r="H343" s="54" t="e">
        <f>ROUND(E343*F343*G343,5)</f>
        <v>#REF!</v>
      </c>
      <c r="I343" s="114"/>
      <c r="J343" s="110" t="e">
        <f>J335</f>
        <v>#REF!</v>
      </c>
    </row>
    <row r="344" spans="1:10" s="55" customFormat="1" ht="17.100000000000001" hidden="1" customHeight="1">
      <c r="A344" s="50" t="e">
        <f t="shared" si="15"/>
        <v>#REF!</v>
      </c>
      <c r="B344" s="51"/>
      <c r="C344" s="51" t="s">
        <v>124</v>
      </c>
      <c r="D344" s="52" t="s">
        <v>0</v>
      </c>
      <c r="E344" s="112"/>
      <c r="F344" s="53"/>
      <c r="G344" s="117"/>
      <c r="H344" s="56">
        <f>ROUND(SUM(H345:H347),5)</f>
        <v>316418.32199999999</v>
      </c>
      <c r="I344" s="115"/>
      <c r="J344" s="110" t="e">
        <f>J335</f>
        <v>#REF!</v>
      </c>
    </row>
    <row r="345" spans="1:10" s="55" customFormat="1" ht="17.100000000000001" hidden="1" customHeight="1">
      <c r="A345" s="50" t="e">
        <f t="shared" si="15"/>
        <v>#REF!</v>
      </c>
      <c r="B345" s="51"/>
      <c r="C345" s="51" t="s">
        <v>436</v>
      </c>
      <c r="D345" s="52" t="s">
        <v>4</v>
      </c>
      <c r="E345" s="112">
        <f>1.95</f>
        <v>1.95</v>
      </c>
      <c r="F345" s="53">
        <f>'NC,M KS'!P28</f>
        <v>147060</v>
      </c>
      <c r="G345" s="117">
        <f>hsm</f>
        <v>1</v>
      </c>
      <c r="H345" s="54">
        <f>ROUND(E345*F345*G345,5)</f>
        <v>286767</v>
      </c>
      <c r="I345" s="114"/>
      <c r="J345" s="110" t="e">
        <f>J335</f>
        <v>#REF!</v>
      </c>
    </row>
    <row r="346" spans="1:10" s="55" customFormat="1" ht="17.100000000000001" hidden="1" customHeight="1">
      <c r="A346" s="50" t="e">
        <f t="shared" si="15"/>
        <v>#REF!</v>
      </c>
      <c r="B346" s="51"/>
      <c r="C346" s="51" t="s">
        <v>425</v>
      </c>
      <c r="D346" s="52" t="s">
        <v>4</v>
      </c>
      <c r="E346" s="112">
        <f>0.06</f>
        <v>0.06</v>
      </c>
      <c r="F346" s="53">
        <f>'NC,M KS'!P27</f>
        <v>14767</v>
      </c>
      <c r="G346" s="117">
        <f>hsm</f>
        <v>1</v>
      </c>
      <c r="H346" s="54">
        <f>ROUND(E346*F346*G346,5)</f>
        <v>886.02</v>
      </c>
      <c r="I346" s="114"/>
      <c r="J346" s="110" t="e">
        <f>J335</f>
        <v>#REF!</v>
      </c>
    </row>
    <row r="347" spans="1:10" s="55" customFormat="1" ht="17.100000000000001" hidden="1" customHeight="1">
      <c r="A347" s="50" t="e">
        <f t="shared" si="15"/>
        <v>#REF!</v>
      </c>
      <c r="B347" s="51"/>
      <c r="C347" s="51" t="s">
        <v>130</v>
      </c>
      <c r="D347" s="52" t="s">
        <v>126</v>
      </c>
      <c r="E347" s="112">
        <f>10</f>
        <v>10</v>
      </c>
      <c r="F347" s="53"/>
      <c r="G347" s="117"/>
      <c r="H347" s="54">
        <f>ROUND(SUM(H345:H346)*E347/100,5)</f>
        <v>28765.302</v>
      </c>
      <c r="I347" s="114"/>
      <c r="J347" s="110" t="e">
        <f>J335</f>
        <v>#REF!</v>
      </c>
    </row>
    <row r="348" spans="1:10" s="55" customFormat="1" ht="17.100000000000001" hidden="1" customHeight="1">
      <c r="A348" s="50" t="e">
        <f t="shared" si="15"/>
        <v>#REF!</v>
      </c>
      <c r="B348" s="51"/>
      <c r="C348" s="170" t="s">
        <v>556</v>
      </c>
      <c r="D348" s="171" t="s">
        <v>136</v>
      </c>
      <c r="E348" s="172" t="s">
        <v>205</v>
      </c>
      <c r="F348" s="53"/>
      <c r="G348" s="117"/>
      <c r="H348" s="173" t="e">
        <f>ROUND(H337+H341+H344,5)</f>
        <v>#REF!</v>
      </c>
      <c r="I348" s="114"/>
      <c r="J348" s="110" t="e">
        <f>J335</f>
        <v>#REF!</v>
      </c>
    </row>
    <row r="349" spans="1:10" s="55" customFormat="1" ht="17.100000000000001" hidden="1" customHeight="1">
      <c r="A349" s="50" t="e">
        <f t="shared" si="15"/>
        <v>#REF!</v>
      </c>
      <c r="B349" s="51"/>
      <c r="C349" s="170" t="s">
        <v>557</v>
      </c>
      <c r="D349" s="171" t="s">
        <v>204</v>
      </c>
      <c r="E349" s="172" t="s">
        <v>558</v>
      </c>
      <c r="F349" s="53"/>
      <c r="G349" s="117"/>
      <c r="H349" s="173" t="e">
        <f>SUM(H350:H351)</f>
        <v>#REF!</v>
      </c>
      <c r="I349" s="114"/>
      <c r="J349" s="110" t="e">
        <f>J335</f>
        <v>#REF!</v>
      </c>
    </row>
    <row r="350" spans="1:10" s="55" customFormat="1" ht="17.100000000000001" hidden="1" customHeight="1">
      <c r="A350" s="50" t="e">
        <f t="shared" si="15"/>
        <v>#REF!</v>
      </c>
      <c r="B350" s="51"/>
      <c r="C350" s="51" t="s">
        <v>426</v>
      </c>
      <c r="D350" s="52" t="s">
        <v>559</v>
      </c>
      <c r="E350" s="116">
        <f>cpc</f>
        <v>0.7</v>
      </c>
      <c r="F350" s="174"/>
      <c r="G350" s="175"/>
      <c r="H350" s="54" t="e">
        <f>E350*H341</f>
        <v>#REF!</v>
      </c>
      <c r="I350" s="114"/>
      <c r="J350" s="110" t="e">
        <f>J335</f>
        <v>#REF!</v>
      </c>
    </row>
    <row r="351" spans="1:10" s="55" customFormat="1" ht="17.100000000000001" hidden="1" customHeight="1">
      <c r="A351" s="50" t="e">
        <f t="shared" si="15"/>
        <v>#REF!</v>
      </c>
      <c r="B351" s="51"/>
      <c r="C351" s="78" t="s">
        <v>560</v>
      </c>
      <c r="D351" s="79" t="s">
        <v>561</v>
      </c>
      <c r="E351" s="176">
        <f>hmc</f>
        <v>0.05</v>
      </c>
      <c r="F351" s="53"/>
      <c r="G351" s="113"/>
      <c r="H351" s="54" t="e">
        <f>E351*H348</f>
        <v>#REF!</v>
      </c>
      <c r="I351" s="114"/>
      <c r="J351" s="110" t="e">
        <f>J335</f>
        <v>#REF!</v>
      </c>
    </row>
    <row r="352" spans="1:10" s="55" customFormat="1" ht="17.100000000000001" hidden="1" customHeight="1">
      <c r="A352" s="50" t="e">
        <f t="shared" si="15"/>
        <v>#REF!</v>
      </c>
      <c r="B352" s="51"/>
      <c r="C352" s="170" t="s">
        <v>562</v>
      </c>
      <c r="D352" s="171" t="s">
        <v>563</v>
      </c>
      <c r="E352" s="179">
        <f>tn</f>
        <v>0.06</v>
      </c>
      <c r="F352" s="177"/>
      <c r="G352" s="178"/>
      <c r="H352" s="181" t="e">
        <f>SUM(H348:H349)*E352</f>
        <v>#REF!</v>
      </c>
      <c r="I352" s="114"/>
      <c r="J352" s="110" t="e">
        <f>J335</f>
        <v>#REF!</v>
      </c>
    </row>
    <row r="353" spans="1:10" s="55" customFormat="1" ht="17.100000000000001" hidden="1" customHeight="1">
      <c r="A353" s="50" t="e">
        <f t="shared" si="15"/>
        <v>#REF!</v>
      </c>
      <c r="B353" s="51"/>
      <c r="C353" s="92" t="s">
        <v>1879</v>
      </c>
      <c r="D353" s="171" t="s">
        <v>227</v>
      </c>
      <c r="E353" s="180" t="s">
        <v>564</v>
      </c>
      <c r="F353" s="174"/>
      <c r="G353" s="175"/>
      <c r="H353" s="173" t="e">
        <f>SUM(H354:H355)</f>
        <v>#REF!</v>
      </c>
      <c r="I353" s="114"/>
      <c r="J353" s="110" t="e">
        <f>J335</f>
        <v>#REF!</v>
      </c>
    </row>
    <row r="354" spans="1:10" s="55" customFormat="1" ht="17.100000000000001" hidden="1" customHeight="1">
      <c r="A354" s="50" t="e">
        <f t="shared" si="15"/>
        <v>#REF!</v>
      </c>
      <c r="B354" s="51"/>
      <c r="C354" s="51" t="s">
        <v>427</v>
      </c>
      <c r="D354" s="52" t="s">
        <v>428</v>
      </c>
      <c r="E354" s="1093">
        <f>paks</f>
        <v>0</v>
      </c>
      <c r="F354" s="174"/>
      <c r="G354" s="175"/>
      <c r="H354" s="54" t="e">
        <f>(H348+H349+H352)*E354</f>
        <v>#REF!</v>
      </c>
      <c r="I354" s="114"/>
      <c r="J354" s="110" t="e">
        <f>J335</f>
        <v>#REF!</v>
      </c>
    </row>
    <row r="355" spans="1:10" s="55" customFormat="1" ht="17.100000000000001" hidden="1" customHeight="1">
      <c r="A355" s="50" t="e">
        <f t="shared" si="15"/>
        <v>#REF!</v>
      </c>
      <c r="B355" s="51"/>
      <c r="C355" s="51" t="s">
        <v>429</v>
      </c>
      <c r="D355" s="52" t="s">
        <v>430</v>
      </c>
      <c r="E355" s="1093">
        <f>bcks</f>
        <v>0.03</v>
      </c>
      <c r="F355" s="53"/>
      <c r="G355" s="113"/>
      <c r="H355" s="54" t="e">
        <f>(H348+H349+H352)*E355</f>
        <v>#REF!</v>
      </c>
      <c r="I355" s="114"/>
      <c r="J355" s="110" t="e">
        <f>J335</f>
        <v>#REF!</v>
      </c>
    </row>
    <row r="356" spans="1:10" s="55" customFormat="1" ht="17.100000000000001" hidden="1" customHeight="1">
      <c r="A356" s="50" t="e">
        <f t="shared" si="15"/>
        <v>#REF!</v>
      </c>
      <c r="B356" s="51"/>
      <c r="C356" s="170" t="s">
        <v>565</v>
      </c>
      <c r="D356" s="171" t="s">
        <v>218</v>
      </c>
      <c r="E356" s="172" t="s">
        <v>566</v>
      </c>
      <c r="F356" s="53"/>
      <c r="G356" s="113"/>
      <c r="H356" s="173" t="e">
        <f>H348+H349+H352+H353</f>
        <v>#REF!</v>
      </c>
      <c r="I356" s="114"/>
      <c r="J356" s="715" t="e">
        <f>J335</f>
        <v>#REF!</v>
      </c>
    </row>
    <row r="357" spans="1:10" s="55" customFormat="1" ht="17.100000000000001" hidden="1" customHeight="1">
      <c r="A357" s="50" t="e">
        <f t="shared" si="15"/>
        <v>#REF!</v>
      </c>
      <c r="B357" s="51"/>
      <c r="C357" s="51" t="s">
        <v>567</v>
      </c>
      <c r="D357" s="52" t="s">
        <v>222</v>
      </c>
      <c r="E357" s="112" t="s">
        <v>1917</v>
      </c>
      <c r="F357" s="174"/>
      <c r="G357" s="175"/>
      <c r="H357" s="54" t="e">
        <f>ROUND(H356*10/100,5)</f>
        <v>#REF!</v>
      </c>
      <c r="I357" s="114"/>
      <c r="J357" s="715" t="e">
        <f>J335</f>
        <v>#REF!</v>
      </c>
    </row>
    <row r="358" spans="1:10" s="55" customFormat="1" ht="17.100000000000001" hidden="1" customHeight="1">
      <c r="A358" s="50" t="e">
        <f t="shared" si="15"/>
        <v>#REF!</v>
      </c>
      <c r="B358" s="51"/>
      <c r="C358" s="170" t="s">
        <v>568</v>
      </c>
      <c r="D358" s="171" t="s">
        <v>225</v>
      </c>
      <c r="E358" s="172" t="s">
        <v>192</v>
      </c>
      <c r="F358" s="53"/>
      <c r="G358" s="117"/>
      <c r="H358" s="56" t="e">
        <f>ROUND(H356+H357,5)</f>
        <v>#REF!</v>
      </c>
      <c r="I358" s="115"/>
      <c r="J358" s="715" t="e">
        <f>J335</f>
        <v>#REF!</v>
      </c>
    </row>
    <row r="359" spans="1:10" s="263" customFormat="1" ht="17.100000000000001" hidden="1" customHeight="1">
      <c r="A359" s="264" t="e">
        <f t="shared" si="15"/>
        <v>#REF!</v>
      </c>
      <c r="B359" s="265" t="s">
        <v>361</v>
      </c>
      <c r="C359" s="265" t="s">
        <v>362</v>
      </c>
      <c r="D359" s="266" t="s">
        <v>308</v>
      </c>
      <c r="E359" s="270"/>
      <c r="F359" s="267"/>
      <c r="G359" s="271"/>
      <c r="H359" s="268" t="e">
        <f>H382</f>
        <v>#REF!</v>
      </c>
      <c r="I359" s="272"/>
      <c r="J359" s="273">
        <f>IF(SUMIF(Khaosat!$B$6:$B$47,'PT giaKS'!B359,Khaosat!$I$6:$I$47)&lt;&gt;0,$J$6,0)</f>
        <v>0</v>
      </c>
    </row>
    <row r="360" spans="1:10" s="55" customFormat="1" ht="17.100000000000001" hidden="1" customHeight="1">
      <c r="A360" s="50" t="e">
        <f t="shared" si="15"/>
        <v>#REF!</v>
      </c>
      <c r="B360" s="51"/>
      <c r="C360" s="51" t="s">
        <v>358</v>
      </c>
      <c r="D360" s="52" t="s">
        <v>0</v>
      </c>
      <c r="E360" s="112"/>
      <c r="F360" s="53"/>
      <c r="G360" s="117"/>
      <c r="H360" s="54"/>
      <c r="I360" s="114"/>
      <c r="J360" s="110">
        <f>J359</f>
        <v>0</v>
      </c>
    </row>
    <row r="361" spans="1:10" s="55" customFormat="1" ht="17.100000000000001" hidden="1" customHeight="1">
      <c r="A361" s="50" t="e">
        <f t="shared" si="15"/>
        <v>#REF!</v>
      </c>
      <c r="B361" s="51"/>
      <c r="C361" s="51" t="s">
        <v>128</v>
      </c>
      <c r="D361" s="52" t="s">
        <v>0</v>
      </c>
      <c r="E361" s="112"/>
      <c r="F361" s="53"/>
      <c r="G361" s="117"/>
      <c r="H361" s="56">
        <f>ROUND(SUM(H362:H364),5)</f>
        <v>3852.5</v>
      </c>
      <c r="I361" s="115"/>
      <c r="J361" s="110">
        <f>J359</f>
        <v>0</v>
      </c>
    </row>
    <row r="362" spans="1:10" s="55" customFormat="1" ht="17.100000000000001" hidden="1" customHeight="1">
      <c r="A362" s="50" t="e">
        <f t="shared" si="15"/>
        <v>#REF!</v>
      </c>
      <c r="B362" s="51"/>
      <c r="C362" s="51" t="s">
        <v>438</v>
      </c>
      <c r="D362" s="52" t="s">
        <v>439</v>
      </c>
      <c r="E362" s="112">
        <f>0.35</f>
        <v>0.35</v>
      </c>
      <c r="F362" s="53">
        <f>VLKS!Q22</f>
        <v>5000</v>
      </c>
      <c r="G362" s="117">
        <f>hsvl</f>
        <v>1</v>
      </c>
      <c r="H362" s="54">
        <f>ROUND(E362*F362*G362,5)</f>
        <v>1750</v>
      </c>
      <c r="I362" s="114"/>
      <c r="J362" s="110">
        <f>J359</f>
        <v>0</v>
      </c>
    </row>
    <row r="363" spans="1:10" s="55" customFormat="1" ht="17.100000000000001" hidden="1" customHeight="1">
      <c r="A363" s="50" t="e">
        <f t="shared" si="15"/>
        <v>#REF!</v>
      </c>
      <c r="B363" s="51"/>
      <c r="C363" s="51" t="s">
        <v>421</v>
      </c>
      <c r="D363" s="52" t="s">
        <v>422</v>
      </c>
      <c r="E363" s="112">
        <f>0.2</f>
        <v>0.2</v>
      </c>
      <c r="F363" s="53">
        <f>VLKS!Q51</f>
        <v>8000</v>
      </c>
      <c r="G363" s="117">
        <f>hsvl</f>
        <v>1</v>
      </c>
      <c r="H363" s="54">
        <f>ROUND(E363*F363*G363,5)</f>
        <v>1600</v>
      </c>
      <c r="I363" s="114"/>
      <c r="J363" s="110">
        <f>J359</f>
        <v>0</v>
      </c>
    </row>
    <row r="364" spans="1:10" s="55" customFormat="1" ht="17.100000000000001" hidden="1" customHeight="1">
      <c r="A364" s="50" t="e">
        <f t="shared" si="15"/>
        <v>#REF!</v>
      </c>
      <c r="B364" s="51"/>
      <c r="C364" s="51" t="s">
        <v>127</v>
      </c>
      <c r="D364" s="52" t="s">
        <v>126</v>
      </c>
      <c r="E364" s="112">
        <f>15</f>
        <v>15</v>
      </c>
      <c r="F364" s="53"/>
      <c r="G364" s="117"/>
      <c r="H364" s="54">
        <f>ROUND(SUM(H362:H363)*E364/100,5)</f>
        <v>502.5</v>
      </c>
      <c r="I364" s="114"/>
      <c r="J364" s="110">
        <f>J359</f>
        <v>0</v>
      </c>
    </row>
    <row r="365" spans="1:10" s="55" customFormat="1" ht="17.100000000000001" hidden="1" customHeight="1">
      <c r="A365" s="50" t="e">
        <f t="shared" si="15"/>
        <v>#REF!</v>
      </c>
      <c r="B365" s="51"/>
      <c r="C365" s="51" t="s">
        <v>125</v>
      </c>
      <c r="D365" s="52" t="s">
        <v>0</v>
      </c>
      <c r="E365" s="112"/>
      <c r="F365" s="53"/>
      <c r="G365" s="117"/>
      <c r="H365" s="56" t="e">
        <f>ROUND(SUM(H366:H367),5)</f>
        <v>#REF!</v>
      </c>
      <c r="I365" s="115"/>
      <c r="J365" s="110">
        <f>J359</f>
        <v>0</v>
      </c>
    </row>
    <row r="366" spans="1:10" s="55" customFormat="1" ht="17.100000000000001" hidden="1" customHeight="1">
      <c r="A366" s="50" t="e">
        <f t="shared" si="15"/>
        <v>#REF!</v>
      </c>
      <c r="B366" s="51"/>
      <c r="C366" s="51" t="s">
        <v>423</v>
      </c>
      <c r="D366" s="52" t="s">
        <v>3</v>
      </c>
      <c r="E366" s="112">
        <f>0.8236</f>
        <v>0.8236</v>
      </c>
      <c r="F366" s="53" t="e">
        <f>'NC,M KS'!P4</f>
        <v>#REF!</v>
      </c>
      <c r="G366" s="117">
        <f>hsnc</f>
        <v>1</v>
      </c>
      <c r="H366" s="54" t="e">
        <f>ROUND(E366*F366*G366,5)</f>
        <v>#REF!</v>
      </c>
      <c r="I366" s="114"/>
      <c r="J366" s="110">
        <f>J359</f>
        <v>0</v>
      </c>
    </row>
    <row r="367" spans="1:10" s="55" customFormat="1" ht="17.100000000000001" hidden="1" customHeight="1">
      <c r="A367" s="50" t="e">
        <f t="shared" si="15"/>
        <v>#REF!</v>
      </c>
      <c r="B367" s="51"/>
      <c r="C367" s="51" t="s">
        <v>424</v>
      </c>
      <c r="D367" s="52" t="s">
        <v>3</v>
      </c>
      <c r="E367" s="112">
        <f>2.1763</f>
        <v>2.1762999999999999</v>
      </c>
      <c r="F367" s="53" t="e">
        <f>'NC,M KS'!P6</f>
        <v>#REF!</v>
      </c>
      <c r="G367" s="117">
        <f>hsnc</f>
        <v>1</v>
      </c>
      <c r="H367" s="54" t="e">
        <f>ROUND(E367*F367*G367,5)</f>
        <v>#REF!</v>
      </c>
      <c r="I367" s="114"/>
      <c r="J367" s="110">
        <f>J359</f>
        <v>0</v>
      </c>
    </row>
    <row r="368" spans="1:10" s="55" customFormat="1" ht="17.100000000000001" hidden="1" customHeight="1">
      <c r="A368" s="50" t="e">
        <f t="shared" si="15"/>
        <v>#REF!</v>
      </c>
      <c r="B368" s="51"/>
      <c r="C368" s="51" t="s">
        <v>124</v>
      </c>
      <c r="D368" s="52" t="s">
        <v>0</v>
      </c>
      <c r="E368" s="112"/>
      <c r="F368" s="53"/>
      <c r="G368" s="117"/>
      <c r="H368" s="56">
        <f>ROUND(SUM(H369:H371),5)</f>
        <v>37422.959309999998</v>
      </c>
      <c r="I368" s="115"/>
      <c r="J368" s="110">
        <f>J359</f>
        <v>0</v>
      </c>
    </row>
    <row r="369" spans="1:10" s="55" customFormat="1" ht="17.100000000000001" hidden="1" customHeight="1">
      <c r="A369" s="50" t="e">
        <f t="shared" si="15"/>
        <v>#REF!</v>
      </c>
      <c r="B369" s="51"/>
      <c r="C369" s="51" t="s">
        <v>436</v>
      </c>
      <c r="D369" s="52" t="s">
        <v>4</v>
      </c>
      <c r="E369" s="112">
        <f>0.2289</f>
        <v>0.22889999999999999</v>
      </c>
      <c r="F369" s="53">
        <f>'NC,M KS'!P28</f>
        <v>147060</v>
      </c>
      <c r="G369" s="117">
        <f>hsm</f>
        <v>1</v>
      </c>
      <c r="H369" s="54">
        <f>ROUND(E369*F369*G369,5)</f>
        <v>33662.034</v>
      </c>
      <c r="I369" s="114"/>
      <c r="J369" s="110">
        <f>J359</f>
        <v>0</v>
      </c>
    </row>
    <row r="370" spans="1:10" s="55" customFormat="1" ht="17.100000000000001" hidden="1" customHeight="1">
      <c r="A370" s="50" t="e">
        <f t="shared" si="15"/>
        <v>#REF!</v>
      </c>
      <c r="B370" s="51"/>
      <c r="C370" s="51" t="s">
        <v>425</v>
      </c>
      <c r="D370" s="52" t="s">
        <v>4</v>
      </c>
      <c r="E370" s="112">
        <f>0.0243</f>
        <v>2.4299999999999999E-2</v>
      </c>
      <c r="F370" s="53">
        <f>'NC,M KS'!P27</f>
        <v>14767</v>
      </c>
      <c r="G370" s="117">
        <f>hsm</f>
        <v>1</v>
      </c>
      <c r="H370" s="54">
        <f>ROUND(E370*F370*G370,5)</f>
        <v>358.8381</v>
      </c>
      <c r="I370" s="114"/>
      <c r="J370" s="110">
        <f>J359</f>
        <v>0</v>
      </c>
    </row>
    <row r="371" spans="1:10" s="55" customFormat="1" ht="17.100000000000001" hidden="1" customHeight="1">
      <c r="A371" s="50" t="e">
        <f t="shared" si="15"/>
        <v>#REF!</v>
      </c>
      <c r="B371" s="51"/>
      <c r="C371" s="51" t="s">
        <v>130</v>
      </c>
      <c r="D371" s="52" t="s">
        <v>126</v>
      </c>
      <c r="E371" s="112">
        <f>10</f>
        <v>10</v>
      </c>
      <c r="F371" s="53"/>
      <c r="G371" s="117"/>
      <c r="H371" s="54">
        <f>ROUND(SUM(H369:H370)*E371/100,5)</f>
        <v>3402.0872100000001</v>
      </c>
      <c r="I371" s="114"/>
      <c r="J371" s="110">
        <f>J359</f>
        <v>0</v>
      </c>
    </row>
    <row r="372" spans="1:10" s="55" customFormat="1" ht="17.100000000000001" hidden="1" customHeight="1">
      <c r="A372" s="50" t="e">
        <f t="shared" si="15"/>
        <v>#REF!</v>
      </c>
      <c r="B372" s="51"/>
      <c r="C372" s="170" t="s">
        <v>556</v>
      </c>
      <c r="D372" s="171" t="s">
        <v>136</v>
      </c>
      <c r="E372" s="172" t="s">
        <v>205</v>
      </c>
      <c r="F372" s="53"/>
      <c r="G372" s="117"/>
      <c r="H372" s="173" t="e">
        <f>ROUND(H361+H365+H368,5)</f>
        <v>#REF!</v>
      </c>
      <c r="I372" s="114"/>
      <c r="J372" s="110">
        <f>J359</f>
        <v>0</v>
      </c>
    </row>
    <row r="373" spans="1:10" s="55" customFormat="1" ht="17.100000000000001" hidden="1" customHeight="1">
      <c r="A373" s="50" t="e">
        <f t="shared" si="15"/>
        <v>#REF!</v>
      </c>
      <c r="B373" s="51"/>
      <c r="C373" s="170" t="s">
        <v>557</v>
      </c>
      <c r="D373" s="171" t="s">
        <v>204</v>
      </c>
      <c r="E373" s="172" t="s">
        <v>558</v>
      </c>
      <c r="F373" s="53"/>
      <c r="G373" s="117"/>
      <c r="H373" s="173" t="e">
        <f>SUM(H374:H375)</f>
        <v>#REF!</v>
      </c>
      <c r="I373" s="114"/>
      <c r="J373" s="110">
        <f>J359</f>
        <v>0</v>
      </c>
    </row>
    <row r="374" spans="1:10" s="55" customFormat="1" ht="17.100000000000001" hidden="1" customHeight="1">
      <c r="A374" s="50" t="e">
        <f t="shared" si="15"/>
        <v>#REF!</v>
      </c>
      <c r="B374" s="51"/>
      <c r="C374" s="51" t="s">
        <v>426</v>
      </c>
      <c r="D374" s="52" t="s">
        <v>559</v>
      </c>
      <c r="E374" s="116">
        <f>cpc</f>
        <v>0.7</v>
      </c>
      <c r="F374" s="174"/>
      <c r="G374" s="175"/>
      <c r="H374" s="54" t="e">
        <f>E374*H365</f>
        <v>#REF!</v>
      </c>
      <c r="I374" s="114"/>
      <c r="J374" s="110">
        <f>J359</f>
        <v>0</v>
      </c>
    </row>
    <row r="375" spans="1:10" s="55" customFormat="1" ht="17.100000000000001" hidden="1" customHeight="1">
      <c r="A375" s="50" t="e">
        <f t="shared" si="15"/>
        <v>#REF!</v>
      </c>
      <c r="B375" s="51"/>
      <c r="C375" s="78" t="s">
        <v>560</v>
      </c>
      <c r="D375" s="79" t="s">
        <v>561</v>
      </c>
      <c r="E375" s="176">
        <f>hmc</f>
        <v>0.05</v>
      </c>
      <c r="F375" s="53"/>
      <c r="G375" s="113"/>
      <c r="H375" s="54" t="e">
        <f>E375*H372</f>
        <v>#REF!</v>
      </c>
      <c r="I375" s="114"/>
      <c r="J375" s="110">
        <f>J359</f>
        <v>0</v>
      </c>
    </row>
    <row r="376" spans="1:10" s="55" customFormat="1" ht="17.100000000000001" hidden="1" customHeight="1">
      <c r="A376" s="50" t="e">
        <f t="shared" si="15"/>
        <v>#REF!</v>
      </c>
      <c r="B376" s="51"/>
      <c r="C376" s="170" t="s">
        <v>562</v>
      </c>
      <c r="D376" s="171" t="s">
        <v>563</v>
      </c>
      <c r="E376" s="179">
        <f>tn</f>
        <v>0.06</v>
      </c>
      <c r="F376" s="177"/>
      <c r="G376" s="178"/>
      <c r="H376" s="181" t="e">
        <f>SUM(H372:H373)*E376</f>
        <v>#REF!</v>
      </c>
      <c r="I376" s="114"/>
      <c r="J376" s="110">
        <f>J359</f>
        <v>0</v>
      </c>
    </row>
    <row r="377" spans="1:10" s="55" customFormat="1" ht="17.100000000000001" hidden="1" customHeight="1">
      <c r="A377" s="50" t="e">
        <f t="shared" si="15"/>
        <v>#REF!</v>
      </c>
      <c r="B377" s="51"/>
      <c r="C377" s="92" t="s">
        <v>1879</v>
      </c>
      <c r="D377" s="171" t="s">
        <v>227</v>
      </c>
      <c r="E377" s="180" t="s">
        <v>564</v>
      </c>
      <c r="F377" s="174"/>
      <c r="G377" s="175"/>
      <c r="H377" s="173" t="e">
        <f>SUM(H378:H379)</f>
        <v>#REF!</v>
      </c>
      <c r="I377" s="114"/>
      <c r="J377" s="110">
        <f>J359</f>
        <v>0</v>
      </c>
    </row>
    <row r="378" spans="1:10" s="55" customFormat="1" ht="17.100000000000001" hidden="1" customHeight="1">
      <c r="A378" s="50" t="e">
        <f t="shared" si="15"/>
        <v>#REF!</v>
      </c>
      <c r="B378" s="51"/>
      <c r="C378" s="51" t="s">
        <v>427</v>
      </c>
      <c r="D378" s="52" t="s">
        <v>428</v>
      </c>
      <c r="E378" s="1093">
        <f>paks</f>
        <v>0</v>
      </c>
      <c r="F378" s="174"/>
      <c r="G378" s="175"/>
      <c r="H378" s="54" t="e">
        <f>(H372+H373+H376)*E378</f>
        <v>#REF!</v>
      </c>
      <c r="I378" s="114"/>
      <c r="J378" s="110">
        <f>J359</f>
        <v>0</v>
      </c>
    </row>
    <row r="379" spans="1:10" s="55" customFormat="1" ht="17.100000000000001" hidden="1" customHeight="1">
      <c r="A379" s="50" t="e">
        <f t="shared" si="15"/>
        <v>#REF!</v>
      </c>
      <c r="B379" s="51"/>
      <c r="C379" s="51" t="s">
        <v>429</v>
      </c>
      <c r="D379" s="52" t="s">
        <v>430</v>
      </c>
      <c r="E379" s="1093">
        <f>bcks</f>
        <v>0.03</v>
      </c>
      <c r="F379" s="53"/>
      <c r="G379" s="113"/>
      <c r="H379" s="54" t="e">
        <f>(H372+H373+H376)*E379</f>
        <v>#REF!</v>
      </c>
      <c r="I379" s="114"/>
      <c r="J379" s="110">
        <f>J359</f>
        <v>0</v>
      </c>
    </row>
    <row r="380" spans="1:10" s="55" customFormat="1" ht="17.100000000000001" hidden="1" customHeight="1">
      <c r="A380" s="50" t="e">
        <f t="shared" si="15"/>
        <v>#REF!</v>
      </c>
      <c r="B380" s="51"/>
      <c r="C380" s="170" t="s">
        <v>565</v>
      </c>
      <c r="D380" s="171" t="s">
        <v>218</v>
      </c>
      <c r="E380" s="172" t="s">
        <v>566</v>
      </c>
      <c r="F380" s="53"/>
      <c r="G380" s="113"/>
      <c r="H380" s="173" t="e">
        <f>H372+H373+H376+H377</f>
        <v>#REF!</v>
      </c>
      <c r="I380" s="114"/>
      <c r="J380" s="715">
        <f>J359</f>
        <v>0</v>
      </c>
    </row>
    <row r="381" spans="1:10" s="55" customFormat="1" ht="17.100000000000001" hidden="1" customHeight="1">
      <c r="A381" s="50" t="e">
        <f t="shared" si="15"/>
        <v>#REF!</v>
      </c>
      <c r="B381" s="51"/>
      <c r="C381" s="51" t="s">
        <v>567</v>
      </c>
      <c r="D381" s="52" t="s">
        <v>222</v>
      </c>
      <c r="E381" s="112" t="s">
        <v>1917</v>
      </c>
      <c r="F381" s="174"/>
      <c r="G381" s="175"/>
      <c r="H381" s="54" t="e">
        <f>ROUND(H380*10/100,5)</f>
        <v>#REF!</v>
      </c>
      <c r="I381" s="114"/>
      <c r="J381" s="715">
        <f>J359</f>
        <v>0</v>
      </c>
    </row>
    <row r="382" spans="1:10" s="55" customFormat="1" ht="17.100000000000001" hidden="1" customHeight="1">
      <c r="A382" s="50" t="e">
        <f t="shared" si="15"/>
        <v>#REF!</v>
      </c>
      <c r="B382" s="51"/>
      <c r="C382" s="170" t="s">
        <v>568</v>
      </c>
      <c r="D382" s="171" t="s">
        <v>225</v>
      </c>
      <c r="E382" s="172" t="s">
        <v>192</v>
      </c>
      <c r="F382" s="53"/>
      <c r="G382" s="117"/>
      <c r="H382" s="56" t="e">
        <f>ROUND(H380+H381,5)</f>
        <v>#REF!</v>
      </c>
      <c r="I382" s="115"/>
      <c r="J382" s="715">
        <f>J359</f>
        <v>0</v>
      </c>
    </row>
    <row r="383" spans="1:10" s="263" customFormat="1" ht="17.100000000000001" hidden="1" customHeight="1">
      <c r="A383" s="264" t="e">
        <f t="shared" si="15"/>
        <v>#REF!</v>
      </c>
      <c r="B383" s="265" t="s">
        <v>363</v>
      </c>
      <c r="C383" s="265" t="s">
        <v>362</v>
      </c>
      <c r="D383" s="266" t="s">
        <v>308</v>
      </c>
      <c r="E383" s="270"/>
      <c r="F383" s="267"/>
      <c r="G383" s="271"/>
      <c r="H383" s="268" t="e">
        <f>H406</f>
        <v>#REF!</v>
      </c>
      <c r="I383" s="272"/>
      <c r="J383" s="273">
        <f>IF(SUMIF(Khaosat!$B$6:$B$47,'PT giaKS'!B383,Khaosat!$I$6:$I$47)&lt;&gt;0,$J$6,0)</f>
        <v>0</v>
      </c>
    </row>
    <row r="384" spans="1:10" s="55" customFormat="1" ht="17.100000000000001" hidden="1" customHeight="1">
      <c r="A384" s="50" t="e">
        <f t="shared" si="15"/>
        <v>#REF!</v>
      </c>
      <c r="B384" s="51"/>
      <c r="C384" s="51" t="s">
        <v>360</v>
      </c>
      <c r="D384" s="52" t="s">
        <v>0</v>
      </c>
      <c r="E384" s="112"/>
      <c r="F384" s="53"/>
      <c r="G384" s="117"/>
      <c r="H384" s="54"/>
      <c r="I384" s="114"/>
      <c r="J384" s="110">
        <f>J383</f>
        <v>0</v>
      </c>
    </row>
    <row r="385" spans="1:10" s="55" customFormat="1" ht="17.100000000000001" hidden="1" customHeight="1">
      <c r="A385" s="50" t="e">
        <f t="shared" si="15"/>
        <v>#REF!</v>
      </c>
      <c r="B385" s="51"/>
      <c r="C385" s="51" t="s">
        <v>128</v>
      </c>
      <c r="D385" s="52" t="s">
        <v>0</v>
      </c>
      <c r="E385" s="112"/>
      <c r="F385" s="53"/>
      <c r="G385" s="117"/>
      <c r="H385" s="56">
        <f>ROUND(SUM(H386:H388),5)</f>
        <v>4140</v>
      </c>
      <c r="I385" s="115"/>
      <c r="J385" s="110">
        <f>J383</f>
        <v>0</v>
      </c>
    </row>
    <row r="386" spans="1:10" s="55" customFormat="1" ht="17.100000000000001" hidden="1" customHeight="1">
      <c r="A386" s="50" t="e">
        <f t="shared" si="15"/>
        <v>#REF!</v>
      </c>
      <c r="B386" s="51"/>
      <c r="C386" s="51" t="s">
        <v>438</v>
      </c>
      <c r="D386" s="52" t="s">
        <v>439</v>
      </c>
      <c r="E386" s="112">
        <f>0.4</f>
        <v>0.4</v>
      </c>
      <c r="F386" s="53">
        <f>VLKS!Q22</f>
        <v>5000</v>
      </c>
      <c r="G386" s="117">
        <f>hsvl</f>
        <v>1</v>
      </c>
      <c r="H386" s="54">
        <f>ROUND(E386*F386*G386,5)</f>
        <v>2000</v>
      </c>
      <c r="I386" s="114"/>
      <c r="J386" s="110">
        <f>J383</f>
        <v>0</v>
      </c>
    </row>
    <row r="387" spans="1:10" s="55" customFormat="1" ht="17.100000000000001" hidden="1" customHeight="1">
      <c r="A387" s="50" t="e">
        <f t="shared" si="15"/>
        <v>#REF!</v>
      </c>
      <c r="B387" s="51"/>
      <c r="C387" s="51" t="s">
        <v>421</v>
      </c>
      <c r="D387" s="52" t="s">
        <v>422</v>
      </c>
      <c r="E387" s="112">
        <f>0.2</f>
        <v>0.2</v>
      </c>
      <c r="F387" s="53">
        <f>VLKS!Q51</f>
        <v>8000</v>
      </c>
      <c r="G387" s="117">
        <f>hsvl</f>
        <v>1</v>
      </c>
      <c r="H387" s="54">
        <f>ROUND(E387*F387*G387,5)</f>
        <v>1600</v>
      </c>
      <c r="I387" s="114"/>
      <c r="J387" s="110">
        <f>J383</f>
        <v>0</v>
      </c>
    </row>
    <row r="388" spans="1:10" s="55" customFormat="1" ht="17.100000000000001" hidden="1" customHeight="1">
      <c r="A388" s="50" t="e">
        <f t="shared" si="15"/>
        <v>#REF!</v>
      </c>
      <c r="B388" s="51"/>
      <c r="C388" s="51" t="s">
        <v>127</v>
      </c>
      <c r="D388" s="52" t="s">
        <v>126</v>
      </c>
      <c r="E388" s="112">
        <f>15</f>
        <v>15</v>
      </c>
      <c r="F388" s="53"/>
      <c r="G388" s="117"/>
      <c r="H388" s="54">
        <f>ROUND(SUM(H386:H387)*E388/100,5)</f>
        <v>540</v>
      </c>
      <c r="I388" s="114"/>
      <c r="J388" s="110">
        <f>J383</f>
        <v>0</v>
      </c>
    </row>
    <row r="389" spans="1:10" s="55" customFormat="1" ht="17.100000000000001" hidden="1" customHeight="1">
      <c r="A389" s="50" t="e">
        <f t="shared" si="15"/>
        <v>#REF!</v>
      </c>
      <c r="B389" s="51"/>
      <c r="C389" s="51" t="s">
        <v>125</v>
      </c>
      <c r="D389" s="52" t="s">
        <v>0</v>
      </c>
      <c r="E389" s="112"/>
      <c r="F389" s="53"/>
      <c r="G389" s="117"/>
      <c r="H389" s="56" t="e">
        <f>ROUND(SUM(H390:H391),5)</f>
        <v>#REF!</v>
      </c>
      <c r="I389" s="115"/>
      <c r="J389" s="110">
        <f>J383</f>
        <v>0</v>
      </c>
    </row>
    <row r="390" spans="1:10" s="55" customFormat="1" ht="17.100000000000001" hidden="1" customHeight="1">
      <c r="A390" s="50" t="e">
        <f t="shared" si="15"/>
        <v>#REF!</v>
      </c>
      <c r="B390" s="51"/>
      <c r="C390" s="51" t="s">
        <v>423</v>
      </c>
      <c r="D390" s="52" t="s">
        <v>3</v>
      </c>
      <c r="E390" s="112">
        <f>1.0974</f>
        <v>1.0973999999999999</v>
      </c>
      <c r="F390" s="53" t="e">
        <f>'NC,M KS'!P4</f>
        <v>#REF!</v>
      </c>
      <c r="G390" s="117">
        <f>hsnc</f>
        <v>1</v>
      </c>
      <c r="H390" s="54" t="e">
        <f>ROUND(E390*F390*G390,5)</f>
        <v>#REF!</v>
      </c>
      <c r="I390" s="114"/>
      <c r="J390" s="110">
        <f>J383</f>
        <v>0</v>
      </c>
    </row>
    <row r="391" spans="1:10" s="55" customFormat="1" ht="17.100000000000001" hidden="1" customHeight="1">
      <c r="A391" s="50" t="e">
        <f t="shared" si="15"/>
        <v>#REF!</v>
      </c>
      <c r="B391" s="51"/>
      <c r="C391" s="51" t="s">
        <v>424</v>
      </c>
      <c r="D391" s="52" t="s">
        <v>3</v>
      </c>
      <c r="E391" s="112">
        <f>2.9786</f>
        <v>2.9786000000000001</v>
      </c>
      <c r="F391" s="53" t="e">
        <f>'NC,M KS'!P6</f>
        <v>#REF!</v>
      </c>
      <c r="G391" s="117">
        <f>hsnc</f>
        <v>1</v>
      </c>
      <c r="H391" s="54" t="e">
        <f>ROUND(E391*F391*G391,5)</f>
        <v>#REF!</v>
      </c>
      <c r="I391" s="114"/>
      <c r="J391" s="110">
        <f>J383</f>
        <v>0</v>
      </c>
    </row>
    <row r="392" spans="1:10" s="55" customFormat="1" ht="17.100000000000001" hidden="1" customHeight="1">
      <c r="A392" s="50" t="e">
        <f t="shared" si="15"/>
        <v>#REF!</v>
      </c>
      <c r="B392" s="51"/>
      <c r="C392" s="51" t="s">
        <v>124</v>
      </c>
      <c r="D392" s="52" t="s">
        <v>0</v>
      </c>
      <c r="E392" s="112"/>
      <c r="F392" s="53"/>
      <c r="G392" s="117"/>
      <c r="H392" s="56">
        <f>ROUND(SUM(H393:H395),5)</f>
        <v>58732.817219999997</v>
      </c>
      <c r="I392" s="115"/>
      <c r="J392" s="110">
        <f>J383</f>
        <v>0</v>
      </c>
    </row>
    <row r="393" spans="1:10" s="55" customFormat="1" ht="17.100000000000001" hidden="1" customHeight="1">
      <c r="A393" s="50" t="e">
        <f t="shared" ref="A393:A456" si="16">IF(B393&lt;&gt;0,A392+J393,A392)</f>
        <v>#REF!</v>
      </c>
      <c r="B393" s="51"/>
      <c r="C393" s="51" t="s">
        <v>436</v>
      </c>
      <c r="D393" s="52" t="s">
        <v>4</v>
      </c>
      <c r="E393" s="112">
        <f>0.36</f>
        <v>0.36</v>
      </c>
      <c r="F393" s="53">
        <f>'NC,M KS'!P28</f>
        <v>147060</v>
      </c>
      <c r="G393" s="117">
        <f>hsm</f>
        <v>1</v>
      </c>
      <c r="H393" s="54">
        <f>ROUND(E393*F393*G393,5)</f>
        <v>52941.599999999999</v>
      </c>
      <c r="I393" s="114"/>
      <c r="J393" s="110">
        <f>J383</f>
        <v>0</v>
      </c>
    </row>
    <row r="394" spans="1:10" s="55" customFormat="1" ht="17.100000000000001" hidden="1" customHeight="1">
      <c r="A394" s="50" t="e">
        <f t="shared" si="16"/>
        <v>#REF!</v>
      </c>
      <c r="B394" s="51"/>
      <c r="C394" s="51" t="s">
        <v>425</v>
      </c>
      <c r="D394" s="52" t="s">
        <v>4</v>
      </c>
      <c r="E394" s="112">
        <f>0.0306</f>
        <v>3.0599999999999999E-2</v>
      </c>
      <c r="F394" s="53">
        <f>'NC,M KS'!P27</f>
        <v>14767</v>
      </c>
      <c r="G394" s="117">
        <f>hsm</f>
        <v>1</v>
      </c>
      <c r="H394" s="54">
        <f>ROUND(E394*F394*G394,5)</f>
        <v>451.87020000000001</v>
      </c>
      <c r="I394" s="114"/>
      <c r="J394" s="110">
        <f>J383</f>
        <v>0</v>
      </c>
    </row>
    <row r="395" spans="1:10" s="55" customFormat="1" ht="17.100000000000001" hidden="1" customHeight="1">
      <c r="A395" s="50" t="e">
        <f t="shared" si="16"/>
        <v>#REF!</v>
      </c>
      <c r="B395" s="51"/>
      <c r="C395" s="51" t="s">
        <v>130</v>
      </c>
      <c r="D395" s="52" t="s">
        <v>126</v>
      </c>
      <c r="E395" s="112">
        <f>10</f>
        <v>10</v>
      </c>
      <c r="F395" s="53"/>
      <c r="G395" s="117"/>
      <c r="H395" s="54">
        <f>ROUND(SUM(H393:H394)*E395/100,5)</f>
        <v>5339.3470200000002</v>
      </c>
      <c r="I395" s="114"/>
      <c r="J395" s="110">
        <f>J383</f>
        <v>0</v>
      </c>
    </row>
    <row r="396" spans="1:10" s="55" customFormat="1" ht="17.100000000000001" hidden="1" customHeight="1">
      <c r="A396" s="50" t="e">
        <f t="shared" si="16"/>
        <v>#REF!</v>
      </c>
      <c r="B396" s="51"/>
      <c r="C396" s="170" t="s">
        <v>556</v>
      </c>
      <c r="D396" s="171" t="s">
        <v>136</v>
      </c>
      <c r="E396" s="172" t="s">
        <v>205</v>
      </c>
      <c r="F396" s="53"/>
      <c r="G396" s="117"/>
      <c r="H396" s="173" t="e">
        <f>ROUND(H385+H389+H392,5)</f>
        <v>#REF!</v>
      </c>
      <c r="I396" s="114"/>
      <c r="J396" s="110">
        <f>J383</f>
        <v>0</v>
      </c>
    </row>
    <row r="397" spans="1:10" s="55" customFormat="1" ht="17.100000000000001" hidden="1" customHeight="1">
      <c r="A397" s="50" t="e">
        <f t="shared" si="16"/>
        <v>#REF!</v>
      </c>
      <c r="B397" s="51"/>
      <c r="C397" s="170" t="s">
        <v>557</v>
      </c>
      <c r="D397" s="171" t="s">
        <v>204</v>
      </c>
      <c r="E397" s="172" t="s">
        <v>558</v>
      </c>
      <c r="F397" s="53"/>
      <c r="G397" s="117"/>
      <c r="H397" s="173" t="e">
        <f>SUM(H398:H399)</f>
        <v>#REF!</v>
      </c>
      <c r="I397" s="114"/>
      <c r="J397" s="110">
        <f>J383</f>
        <v>0</v>
      </c>
    </row>
    <row r="398" spans="1:10" s="55" customFormat="1" ht="17.100000000000001" hidden="1" customHeight="1">
      <c r="A398" s="50" t="e">
        <f t="shared" si="16"/>
        <v>#REF!</v>
      </c>
      <c r="B398" s="51"/>
      <c r="C398" s="51" t="s">
        <v>426</v>
      </c>
      <c r="D398" s="52" t="s">
        <v>559</v>
      </c>
      <c r="E398" s="116">
        <f>cpc</f>
        <v>0.7</v>
      </c>
      <c r="F398" s="174"/>
      <c r="G398" s="175"/>
      <c r="H398" s="54" t="e">
        <f>E398*H389</f>
        <v>#REF!</v>
      </c>
      <c r="I398" s="114"/>
      <c r="J398" s="110">
        <f>J383</f>
        <v>0</v>
      </c>
    </row>
    <row r="399" spans="1:10" s="55" customFormat="1" ht="17.100000000000001" hidden="1" customHeight="1">
      <c r="A399" s="50" t="e">
        <f t="shared" si="16"/>
        <v>#REF!</v>
      </c>
      <c r="B399" s="51"/>
      <c r="C399" s="78" t="s">
        <v>560</v>
      </c>
      <c r="D399" s="79" t="s">
        <v>561</v>
      </c>
      <c r="E399" s="176">
        <f>hmc</f>
        <v>0.05</v>
      </c>
      <c r="F399" s="53"/>
      <c r="G399" s="113"/>
      <c r="H399" s="54" t="e">
        <f>E399*H396</f>
        <v>#REF!</v>
      </c>
      <c r="I399" s="114"/>
      <c r="J399" s="110">
        <f>J383</f>
        <v>0</v>
      </c>
    </row>
    <row r="400" spans="1:10" s="55" customFormat="1" ht="17.100000000000001" hidden="1" customHeight="1">
      <c r="A400" s="50" t="e">
        <f t="shared" si="16"/>
        <v>#REF!</v>
      </c>
      <c r="B400" s="51"/>
      <c r="C400" s="170" t="s">
        <v>562</v>
      </c>
      <c r="D400" s="171" t="s">
        <v>563</v>
      </c>
      <c r="E400" s="179">
        <f>tn</f>
        <v>0.06</v>
      </c>
      <c r="F400" s="177"/>
      <c r="G400" s="178"/>
      <c r="H400" s="181" t="e">
        <f>SUM(H396:H397)*E400</f>
        <v>#REF!</v>
      </c>
      <c r="I400" s="114"/>
      <c r="J400" s="110">
        <f>J383</f>
        <v>0</v>
      </c>
    </row>
    <row r="401" spans="1:10" s="55" customFormat="1" ht="17.100000000000001" hidden="1" customHeight="1">
      <c r="A401" s="50" t="e">
        <f t="shared" si="16"/>
        <v>#REF!</v>
      </c>
      <c r="B401" s="51"/>
      <c r="C401" s="92" t="s">
        <v>1879</v>
      </c>
      <c r="D401" s="171" t="s">
        <v>227</v>
      </c>
      <c r="E401" s="180" t="s">
        <v>564</v>
      </c>
      <c r="F401" s="174"/>
      <c r="G401" s="175"/>
      <c r="H401" s="173" t="e">
        <f>SUM(H402:H403)</f>
        <v>#REF!</v>
      </c>
      <c r="I401" s="114"/>
      <c r="J401" s="110">
        <f>J383</f>
        <v>0</v>
      </c>
    </row>
    <row r="402" spans="1:10" s="55" customFormat="1" ht="17.100000000000001" hidden="1" customHeight="1">
      <c r="A402" s="50" t="e">
        <f t="shared" si="16"/>
        <v>#REF!</v>
      </c>
      <c r="B402" s="51"/>
      <c r="C402" s="51" t="s">
        <v>427</v>
      </c>
      <c r="D402" s="52" t="s">
        <v>428</v>
      </c>
      <c r="E402" s="1093">
        <f>paks</f>
        <v>0</v>
      </c>
      <c r="F402" s="174"/>
      <c r="G402" s="175"/>
      <c r="H402" s="54" t="e">
        <f>(H396+H397+H400)*E402</f>
        <v>#REF!</v>
      </c>
      <c r="I402" s="114"/>
      <c r="J402" s="110">
        <f>J383</f>
        <v>0</v>
      </c>
    </row>
    <row r="403" spans="1:10" s="55" customFormat="1" ht="17.100000000000001" hidden="1" customHeight="1">
      <c r="A403" s="50" t="e">
        <f t="shared" si="16"/>
        <v>#REF!</v>
      </c>
      <c r="B403" s="51"/>
      <c r="C403" s="51" t="s">
        <v>429</v>
      </c>
      <c r="D403" s="52" t="s">
        <v>430</v>
      </c>
      <c r="E403" s="1093">
        <f>bcks</f>
        <v>0.03</v>
      </c>
      <c r="F403" s="53"/>
      <c r="G403" s="113"/>
      <c r="H403" s="54" t="e">
        <f>(H396+H397+H400)*E403</f>
        <v>#REF!</v>
      </c>
      <c r="I403" s="114"/>
      <c r="J403" s="110">
        <f>J383</f>
        <v>0</v>
      </c>
    </row>
    <row r="404" spans="1:10" s="55" customFormat="1" ht="17.100000000000001" hidden="1" customHeight="1">
      <c r="A404" s="50" t="e">
        <f t="shared" si="16"/>
        <v>#REF!</v>
      </c>
      <c r="B404" s="51"/>
      <c r="C404" s="170" t="s">
        <v>565</v>
      </c>
      <c r="D404" s="171" t="s">
        <v>218</v>
      </c>
      <c r="E404" s="172" t="s">
        <v>566</v>
      </c>
      <c r="F404" s="53"/>
      <c r="G404" s="113"/>
      <c r="H404" s="173" t="e">
        <f>H396+H397+H400+H401</f>
        <v>#REF!</v>
      </c>
      <c r="I404" s="114"/>
      <c r="J404" s="715">
        <f>J383</f>
        <v>0</v>
      </c>
    </row>
    <row r="405" spans="1:10" s="55" customFormat="1" ht="17.100000000000001" hidden="1" customHeight="1">
      <c r="A405" s="50" t="e">
        <f t="shared" si="16"/>
        <v>#REF!</v>
      </c>
      <c r="B405" s="51"/>
      <c r="C405" s="51" t="s">
        <v>567</v>
      </c>
      <c r="D405" s="52" t="s">
        <v>222</v>
      </c>
      <c r="E405" s="112" t="s">
        <v>1917</v>
      </c>
      <c r="F405" s="174"/>
      <c r="G405" s="175"/>
      <c r="H405" s="54" t="e">
        <f>ROUND(H404*10/100,5)</f>
        <v>#REF!</v>
      </c>
      <c r="I405" s="114"/>
      <c r="J405" s="715">
        <f>J383</f>
        <v>0</v>
      </c>
    </row>
    <row r="406" spans="1:10" s="55" customFormat="1" ht="17.100000000000001" hidden="1" customHeight="1">
      <c r="A406" s="50" t="e">
        <f t="shared" si="16"/>
        <v>#REF!</v>
      </c>
      <c r="B406" s="51"/>
      <c r="C406" s="170" t="s">
        <v>568</v>
      </c>
      <c r="D406" s="171" t="s">
        <v>225</v>
      </c>
      <c r="E406" s="172" t="s">
        <v>192</v>
      </c>
      <c r="F406" s="53"/>
      <c r="G406" s="117"/>
      <c r="H406" s="56" t="e">
        <f>ROUND(H404+H405,5)</f>
        <v>#REF!</v>
      </c>
      <c r="I406" s="115"/>
      <c r="J406" s="715">
        <f>J383</f>
        <v>0</v>
      </c>
    </row>
    <row r="407" spans="1:10" s="263" customFormat="1" ht="17.100000000000001" hidden="1" customHeight="1">
      <c r="A407" s="264" t="e">
        <f t="shared" si="16"/>
        <v>#REF!</v>
      </c>
      <c r="B407" s="265" t="s">
        <v>364</v>
      </c>
      <c r="C407" s="265" t="s">
        <v>362</v>
      </c>
      <c r="D407" s="266" t="s">
        <v>308</v>
      </c>
      <c r="E407" s="270"/>
      <c r="F407" s="267"/>
      <c r="G407" s="271"/>
      <c r="H407" s="268" t="e">
        <f>H430</f>
        <v>#REF!</v>
      </c>
      <c r="I407" s="272"/>
      <c r="J407" s="273">
        <f>IF(SUMIF(Khaosat!$B$6:$B$47,'PT giaKS'!B407,Khaosat!$I$6:$I$47)&lt;&gt;0,$J$6,0)</f>
        <v>0</v>
      </c>
    </row>
    <row r="408" spans="1:10" s="55" customFormat="1" ht="17.100000000000001" hidden="1" customHeight="1">
      <c r="A408" s="50" t="e">
        <f t="shared" si="16"/>
        <v>#REF!</v>
      </c>
      <c r="B408" s="51"/>
      <c r="C408" s="51" t="s">
        <v>365</v>
      </c>
      <c r="D408" s="52" t="s">
        <v>0</v>
      </c>
      <c r="E408" s="112"/>
      <c r="F408" s="53"/>
      <c r="G408" s="117"/>
      <c r="H408" s="54"/>
      <c r="I408" s="114"/>
      <c r="J408" s="110">
        <f>J407</f>
        <v>0</v>
      </c>
    </row>
    <row r="409" spans="1:10" s="55" customFormat="1" ht="17.100000000000001" hidden="1" customHeight="1">
      <c r="A409" s="50" t="e">
        <f t="shared" si="16"/>
        <v>#REF!</v>
      </c>
      <c r="B409" s="51"/>
      <c r="C409" s="51" t="s">
        <v>128</v>
      </c>
      <c r="D409" s="52" t="s">
        <v>0</v>
      </c>
      <c r="E409" s="112"/>
      <c r="F409" s="53"/>
      <c r="G409" s="117"/>
      <c r="H409" s="56">
        <f>ROUND(SUM(H410:H412),5)</f>
        <v>5635</v>
      </c>
      <c r="I409" s="115"/>
      <c r="J409" s="110">
        <f>J407</f>
        <v>0</v>
      </c>
    </row>
    <row r="410" spans="1:10" s="55" customFormat="1" ht="17.100000000000001" hidden="1" customHeight="1">
      <c r="A410" s="50" t="e">
        <f t="shared" si="16"/>
        <v>#REF!</v>
      </c>
      <c r="B410" s="51"/>
      <c r="C410" s="51" t="s">
        <v>438</v>
      </c>
      <c r="D410" s="52" t="s">
        <v>439</v>
      </c>
      <c r="E410" s="112">
        <f>0.5</f>
        <v>0.5</v>
      </c>
      <c r="F410" s="53">
        <f>VLKS!Q22</f>
        <v>5000</v>
      </c>
      <c r="G410" s="117">
        <f>hsvl</f>
        <v>1</v>
      </c>
      <c r="H410" s="54">
        <f>ROUND(E410*F410*G410,5)</f>
        <v>2500</v>
      </c>
      <c r="I410" s="114"/>
      <c r="J410" s="110">
        <f>J407</f>
        <v>0</v>
      </c>
    </row>
    <row r="411" spans="1:10" s="55" customFormat="1" ht="17.100000000000001" hidden="1" customHeight="1">
      <c r="A411" s="50" t="e">
        <f t="shared" si="16"/>
        <v>#REF!</v>
      </c>
      <c r="B411" s="51"/>
      <c r="C411" s="51" t="s">
        <v>421</v>
      </c>
      <c r="D411" s="52" t="s">
        <v>422</v>
      </c>
      <c r="E411" s="112">
        <f>0.3</f>
        <v>0.3</v>
      </c>
      <c r="F411" s="53">
        <f>VLKS!Q51</f>
        <v>8000</v>
      </c>
      <c r="G411" s="117">
        <f>hsvl</f>
        <v>1</v>
      </c>
      <c r="H411" s="54">
        <f>ROUND(E411*F411*G411,5)</f>
        <v>2400</v>
      </c>
      <c r="I411" s="114"/>
      <c r="J411" s="110">
        <f>J407</f>
        <v>0</v>
      </c>
    </row>
    <row r="412" spans="1:10" s="55" customFormat="1" ht="17.100000000000001" hidden="1" customHeight="1">
      <c r="A412" s="50" t="e">
        <f t="shared" si="16"/>
        <v>#REF!</v>
      </c>
      <c r="B412" s="51"/>
      <c r="C412" s="51" t="s">
        <v>127</v>
      </c>
      <c r="D412" s="52" t="s">
        <v>126</v>
      </c>
      <c r="E412" s="112">
        <f>15</f>
        <v>15</v>
      </c>
      <c r="F412" s="53"/>
      <c r="G412" s="117"/>
      <c r="H412" s="54">
        <f>ROUND(SUM(H410:H411)*E412/100,5)</f>
        <v>735</v>
      </c>
      <c r="I412" s="114"/>
      <c r="J412" s="110">
        <f>J407</f>
        <v>0</v>
      </c>
    </row>
    <row r="413" spans="1:10" s="55" customFormat="1" ht="17.100000000000001" hidden="1" customHeight="1">
      <c r="A413" s="50" t="e">
        <f t="shared" si="16"/>
        <v>#REF!</v>
      </c>
      <c r="B413" s="51"/>
      <c r="C413" s="51" t="s">
        <v>125</v>
      </c>
      <c r="D413" s="52" t="s">
        <v>0</v>
      </c>
      <c r="E413" s="112"/>
      <c r="F413" s="53"/>
      <c r="G413" s="117"/>
      <c r="H413" s="56" t="e">
        <f>ROUND(SUM(H414:H415),5)</f>
        <v>#REF!</v>
      </c>
      <c r="I413" s="115"/>
      <c r="J413" s="110">
        <f>J407</f>
        <v>0</v>
      </c>
    </row>
    <row r="414" spans="1:10" s="55" customFormat="1" ht="17.100000000000001" hidden="1" customHeight="1">
      <c r="A414" s="50" t="e">
        <f t="shared" si="16"/>
        <v>#REF!</v>
      </c>
      <c r="B414" s="51"/>
      <c r="C414" s="51" t="s">
        <v>423</v>
      </c>
      <c r="D414" s="52" t="s">
        <v>3</v>
      </c>
      <c r="E414" s="112">
        <f>1.5267</f>
        <v>1.5266999999999999</v>
      </c>
      <c r="F414" s="53" t="e">
        <f>'NC,M KS'!P4</f>
        <v>#REF!</v>
      </c>
      <c r="G414" s="117">
        <f>hsnc</f>
        <v>1</v>
      </c>
      <c r="H414" s="54" t="e">
        <f>ROUND(E414*F414*G414,5)</f>
        <v>#REF!</v>
      </c>
      <c r="I414" s="114"/>
      <c r="J414" s="110">
        <f>J407</f>
        <v>0</v>
      </c>
    </row>
    <row r="415" spans="1:10" s="55" customFormat="1" ht="17.100000000000001" hidden="1" customHeight="1">
      <c r="A415" s="50" t="e">
        <f t="shared" si="16"/>
        <v>#REF!</v>
      </c>
      <c r="B415" s="51"/>
      <c r="C415" s="51" t="s">
        <v>424</v>
      </c>
      <c r="D415" s="52" t="s">
        <v>3</v>
      </c>
      <c r="E415" s="112">
        <f>4.2683</f>
        <v>4.2683</v>
      </c>
      <c r="F415" s="53" t="e">
        <f>'NC,M KS'!P6</f>
        <v>#REF!</v>
      </c>
      <c r="G415" s="117">
        <f>hsnc</f>
        <v>1</v>
      </c>
      <c r="H415" s="54" t="e">
        <f>ROUND(E415*F415*G415,5)</f>
        <v>#REF!</v>
      </c>
      <c r="I415" s="114"/>
      <c r="J415" s="110">
        <f>J407</f>
        <v>0</v>
      </c>
    </row>
    <row r="416" spans="1:10" s="55" customFormat="1" ht="17.100000000000001" hidden="1" customHeight="1">
      <c r="A416" s="50" t="e">
        <f t="shared" si="16"/>
        <v>#REF!</v>
      </c>
      <c r="B416" s="51"/>
      <c r="C416" s="51" t="s">
        <v>124</v>
      </c>
      <c r="D416" s="52" t="s">
        <v>0</v>
      </c>
      <c r="E416" s="112"/>
      <c r="F416" s="53"/>
      <c r="G416" s="117"/>
      <c r="H416" s="56">
        <f>ROUND(SUM(H417:H419),5)</f>
        <v>94844.868029999998</v>
      </c>
      <c r="I416" s="115"/>
      <c r="J416" s="110">
        <f>J407</f>
        <v>0</v>
      </c>
    </row>
    <row r="417" spans="1:10" s="55" customFormat="1" ht="17.100000000000001" hidden="1" customHeight="1">
      <c r="A417" s="50" t="e">
        <f t="shared" si="16"/>
        <v>#REF!</v>
      </c>
      <c r="B417" s="51"/>
      <c r="C417" s="51" t="s">
        <v>436</v>
      </c>
      <c r="D417" s="52" t="s">
        <v>4</v>
      </c>
      <c r="E417" s="112">
        <f>0.5817</f>
        <v>0.58169999999999999</v>
      </c>
      <c r="F417" s="53">
        <f>'NC,M KS'!P28</f>
        <v>147060</v>
      </c>
      <c r="G417" s="117">
        <f>hsm</f>
        <v>1</v>
      </c>
      <c r="H417" s="54">
        <f>ROUND(E417*F417*G417,5)</f>
        <v>85544.801999999996</v>
      </c>
      <c r="I417" s="114"/>
      <c r="J417" s="110">
        <f>J407</f>
        <v>0</v>
      </c>
    </row>
    <row r="418" spans="1:10" s="55" customFormat="1" ht="17.100000000000001" hidden="1" customHeight="1">
      <c r="A418" s="50" t="e">
        <f t="shared" si="16"/>
        <v>#REF!</v>
      </c>
      <c r="B418" s="51"/>
      <c r="C418" s="51" t="s">
        <v>425</v>
      </c>
      <c r="D418" s="52" t="s">
        <v>4</v>
      </c>
      <c r="E418" s="112">
        <f>0.0459</f>
        <v>4.5900000000000003E-2</v>
      </c>
      <c r="F418" s="53">
        <f>'NC,M KS'!P27</f>
        <v>14767</v>
      </c>
      <c r="G418" s="117">
        <f>hsm</f>
        <v>1</v>
      </c>
      <c r="H418" s="54">
        <f>ROUND(E418*F418*G418,5)</f>
        <v>677.80529999999999</v>
      </c>
      <c r="I418" s="114"/>
      <c r="J418" s="110">
        <f>J407</f>
        <v>0</v>
      </c>
    </row>
    <row r="419" spans="1:10" s="55" customFormat="1" ht="17.100000000000001" hidden="1" customHeight="1">
      <c r="A419" s="50" t="e">
        <f t="shared" si="16"/>
        <v>#REF!</v>
      </c>
      <c r="B419" s="51"/>
      <c r="C419" s="51" t="s">
        <v>130</v>
      </c>
      <c r="D419" s="52" t="s">
        <v>126</v>
      </c>
      <c r="E419" s="112">
        <f>10</f>
        <v>10</v>
      </c>
      <c r="F419" s="53"/>
      <c r="G419" s="117"/>
      <c r="H419" s="54">
        <f>ROUND(SUM(H417:H418)*E419/100,5)</f>
        <v>8622.26073</v>
      </c>
      <c r="I419" s="114"/>
      <c r="J419" s="110">
        <f>J407</f>
        <v>0</v>
      </c>
    </row>
    <row r="420" spans="1:10" s="55" customFormat="1" ht="17.100000000000001" hidden="1" customHeight="1">
      <c r="A420" s="50" t="e">
        <f t="shared" si="16"/>
        <v>#REF!</v>
      </c>
      <c r="B420" s="51"/>
      <c r="C420" s="170" t="s">
        <v>556</v>
      </c>
      <c r="D420" s="171" t="s">
        <v>136</v>
      </c>
      <c r="E420" s="172" t="s">
        <v>205</v>
      </c>
      <c r="F420" s="53"/>
      <c r="G420" s="117"/>
      <c r="H420" s="173" t="e">
        <f>ROUND(H409+H413+H416,5)</f>
        <v>#REF!</v>
      </c>
      <c r="I420" s="114"/>
      <c r="J420" s="110">
        <f>J407</f>
        <v>0</v>
      </c>
    </row>
    <row r="421" spans="1:10" s="55" customFormat="1" ht="17.100000000000001" hidden="1" customHeight="1">
      <c r="A421" s="50" t="e">
        <f t="shared" si="16"/>
        <v>#REF!</v>
      </c>
      <c r="B421" s="51"/>
      <c r="C421" s="170" t="s">
        <v>557</v>
      </c>
      <c r="D421" s="171" t="s">
        <v>204</v>
      </c>
      <c r="E421" s="172" t="s">
        <v>558</v>
      </c>
      <c r="F421" s="53"/>
      <c r="G421" s="117"/>
      <c r="H421" s="173" t="e">
        <f>SUM(H422:H423)</f>
        <v>#REF!</v>
      </c>
      <c r="I421" s="114"/>
      <c r="J421" s="110">
        <f>J407</f>
        <v>0</v>
      </c>
    </row>
    <row r="422" spans="1:10" s="55" customFormat="1" ht="17.100000000000001" hidden="1" customHeight="1">
      <c r="A422" s="50" t="e">
        <f t="shared" si="16"/>
        <v>#REF!</v>
      </c>
      <c r="B422" s="51"/>
      <c r="C422" s="51" t="s">
        <v>426</v>
      </c>
      <c r="D422" s="52" t="s">
        <v>559</v>
      </c>
      <c r="E422" s="116">
        <f>cpc</f>
        <v>0.7</v>
      </c>
      <c r="F422" s="174"/>
      <c r="G422" s="175"/>
      <c r="H422" s="54" t="e">
        <f>E422*H413</f>
        <v>#REF!</v>
      </c>
      <c r="I422" s="114"/>
      <c r="J422" s="110">
        <f>J407</f>
        <v>0</v>
      </c>
    </row>
    <row r="423" spans="1:10" s="55" customFormat="1" ht="17.100000000000001" hidden="1" customHeight="1">
      <c r="A423" s="50" t="e">
        <f t="shared" si="16"/>
        <v>#REF!</v>
      </c>
      <c r="B423" s="51"/>
      <c r="C423" s="78" t="s">
        <v>560</v>
      </c>
      <c r="D423" s="79" t="s">
        <v>561</v>
      </c>
      <c r="E423" s="176">
        <f>hmc</f>
        <v>0.05</v>
      </c>
      <c r="F423" s="53"/>
      <c r="G423" s="113"/>
      <c r="H423" s="54" t="e">
        <f>E423*H420</f>
        <v>#REF!</v>
      </c>
      <c r="I423" s="114"/>
      <c r="J423" s="110">
        <f>J407</f>
        <v>0</v>
      </c>
    </row>
    <row r="424" spans="1:10" s="55" customFormat="1" ht="17.100000000000001" hidden="1" customHeight="1">
      <c r="A424" s="50" t="e">
        <f t="shared" si="16"/>
        <v>#REF!</v>
      </c>
      <c r="B424" s="51"/>
      <c r="C424" s="170" t="s">
        <v>562</v>
      </c>
      <c r="D424" s="171" t="s">
        <v>563</v>
      </c>
      <c r="E424" s="179">
        <f>tn</f>
        <v>0.06</v>
      </c>
      <c r="F424" s="177"/>
      <c r="G424" s="178"/>
      <c r="H424" s="181" t="e">
        <f>SUM(H420:H421)*E424</f>
        <v>#REF!</v>
      </c>
      <c r="I424" s="114"/>
      <c r="J424" s="110">
        <f>J407</f>
        <v>0</v>
      </c>
    </row>
    <row r="425" spans="1:10" s="55" customFormat="1" ht="17.100000000000001" hidden="1" customHeight="1">
      <c r="A425" s="50" t="e">
        <f t="shared" si="16"/>
        <v>#REF!</v>
      </c>
      <c r="B425" s="51"/>
      <c r="C425" s="92" t="s">
        <v>1879</v>
      </c>
      <c r="D425" s="171" t="s">
        <v>227</v>
      </c>
      <c r="E425" s="180" t="s">
        <v>564</v>
      </c>
      <c r="F425" s="174"/>
      <c r="G425" s="175"/>
      <c r="H425" s="173" t="e">
        <f>SUM(H426:H427)</f>
        <v>#REF!</v>
      </c>
      <c r="I425" s="114"/>
      <c r="J425" s="110">
        <f>J407</f>
        <v>0</v>
      </c>
    </row>
    <row r="426" spans="1:10" s="55" customFormat="1" ht="17.100000000000001" hidden="1" customHeight="1">
      <c r="A426" s="50" t="e">
        <f t="shared" si="16"/>
        <v>#REF!</v>
      </c>
      <c r="B426" s="51"/>
      <c r="C426" s="51" t="s">
        <v>427</v>
      </c>
      <c r="D426" s="52" t="s">
        <v>428</v>
      </c>
      <c r="E426" s="1093">
        <f>paks</f>
        <v>0</v>
      </c>
      <c r="F426" s="174"/>
      <c r="G426" s="175"/>
      <c r="H426" s="54" t="e">
        <f>(H420+H421+H424)*E426</f>
        <v>#REF!</v>
      </c>
      <c r="I426" s="114"/>
      <c r="J426" s="110">
        <f>J407</f>
        <v>0</v>
      </c>
    </row>
    <row r="427" spans="1:10" s="55" customFormat="1" ht="17.100000000000001" hidden="1" customHeight="1">
      <c r="A427" s="50" t="e">
        <f t="shared" si="16"/>
        <v>#REF!</v>
      </c>
      <c r="B427" s="51"/>
      <c r="C427" s="51" t="s">
        <v>429</v>
      </c>
      <c r="D427" s="52" t="s">
        <v>430</v>
      </c>
      <c r="E427" s="1093">
        <f>bcks</f>
        <v>0.03</v>
      </c>
      <c r="F427" s="53"/>
      <c r="G427" s="113"/>
      <c r="H427" s="54" t="e">
        <f>(H420+H421+H424)*E427</f>
        <v>#REF!</v>
      </c>
      <c r="I427" s="114"/>
      <c r="J427" s="110">
        <f>J407</f>
        <v>0</v>
      </c>
    </row>
    <row r="428" spans="1:10" s="55" customFormat="1" ht="17.100000000000001" hidden="1" customHeight="1">
      <c r="A428" s="50" t="e">
        <f t="shared" si="16"/>
        <v>#REF!</v>
      </c>
      <c r="B428" s="51"/>
      <c r="C428" s="170" t="s">
        <v>565</v>
      </c>
      <c r="D428" s="171" t="s">
        <v>218</v>
      </c>
      <c r="E428" s="172" t="s">
        <v>566</v>
      </c>
      <c r="F428" s="53"/>
      <c r="G428" s="113"/>
      <c r="H428" s="173" t="e">
        <f>H420+H421+H424+H425</f>
        <v>#REF!</v>
      </c>
      <c r="I428" s="114"/>
      <c r="J428" s="715">
        <f>J407</f>
        <v>0</v>
      </c>
    </row>
    <row r="429" spans="1:10" s="55" customFormat="1" ht="17.100000000000001" hidden="1" customHeight="1">
      <c r="A429" s="50" t="e">
        <f t="shared" si="16"/>
        <v>#REF!</v>
      </c>
      <c r="B429" s="51"/>
      <c r="C429" s="51" t="s">
        <v>567</v>
      </c>
      <c r="D429" s="52" t="s">
        <v>222</v>
      </c>
      <c r="E429" s="112" t="s">
        <v>1917</v>
      </c>
      <c r="F429" s="174"/>
      <c r="G429" s="175"/>
      <c r="H429" s="54" t="e">
        <f>ROUND(H428*10/100,5)</f>
        <v>#REF!</v>
      </c>
      <c r="I429" s="114"/>
      <c r="J429" s="715">
        <f>J407</f>
        <v>0</v>
      </c>
    </row>
    <row r="430" spans="1:10" s="55" customFormat="1" ht="17.100000000000001" hidden="1" customHeight="1">
      <c r="A430" s="50" t="e">
        <f t="shared" si="16"/>
        <v>#REF!</v>
      </c>
      <c r="B430" s="51"/>
      <c r="C430" s="170" t="s">
        <v>568</v>
      </c>
      <c r="D430" s="171" t="s">
        <v>225</v>
      </c>
      <c r="E430" s="172" t="s">
        <v>192</v>
      </c>
      <c r="F430" s="53"/>
      <c r="G430" s="117"/>
      <c r="H430" s="56" t="e">
        <f>ROUND(H428+H429,5)</f>
        <v>#REF!</v>
      </c>
      <c r="I430" s="115"/>
      <c r="J430" s="715">
        <f>J407</f>
        <v>0</v>
      </c>
    </row>
    <row r="431" spans="1:10" s="263" customFormat="1" ht="17.100000000000001" hidden="1" customHeight="1">
      <c r="A431" s="264" t="e">
        <f t="shared" si="16"/>
        <v>#REF!</v>
      </c>
      <c r="B431" s="265" t="s">
        <v>1289</v>
      </c>
      <c r="C431" s="265" t="s">
        <v>367</v>
      </c>
      <c r="D431" s="266" t="s">
        <v>308</v>
      </c>
      <c r="E431" s="270"/>
      <c r="F431" s="267"/>
      <c r="G431" s="271"/>
      <c r="H431" s="268" t="e">
        <f>H454</f>
        <v>#REF!</v>
      </c>
      <c r="I431" s="272"/>
      <c r="J431" s="273" t="e">
        <f>IF(SUMIF(Khaosat!$B$6:$B$47,'PT giaKS'!B431,Khaosat!$I$6:$I$47)&lt;&gt;0,$J$6,0)</f>
        <v>#REF!</v>
      </c>
    </row>
    <row r="432" spans="1:10" s="55" customFormat="1" ht="17.100000000000001" hidden="1" customHeight="1">
      <c r="A432" s="50" t="e">
        <f t="shared" si="16"/>
        <v>#REF!</v>
      </c>
      <c r="B432" s="51"/>
      <c r="C432" s="51" t="s">
        <v>1290</v>
      </c>
      <c r="D432" s="52" t="s">
        <v>0</v>
      </c>
      <c r="E432" s="112"/>
      <c r="F432" s="53"/>
      <c r="G432" s="117"/>
      <c r="H432" s="54"/>
      <c r="I432" s="114"/>
      <c r="J432" s="110" t="e">
        <f>J431</f>
        <v>#REF!</v>
      </c>
    </row>
    <row r="433" spans="1:10" s="55" customFormat="1" ht="17.100000000000001" hidden="1" customHeight="1">
      <c r="A433" s="50" t="e">
        <f t="shared" si="16"/>
        <v>#REF!</v>
      </c>
      <c r="B433" s="51"/>
      <c r="C433" s="51" t="s">
        <v>128</v>
      </c>
      <c r="D433" s="52" t="s">
        <v>0</v>
      </c>
      <c r="E433" s="112"/>
      <c r="F433" s="53"/>
      <c r="G433" s="117"/>
      <c r="H433" s="56">
        <f>ROUND(SUM(H434:H436),5)</f>
        <v>17020</v>
      </c>
      <c r="I433" s="115"/>
      <c r="J433" s="110" t="e">
        <f>J431</f>
        <v>#REF!</v>
      </c>
    </row>
    <row r="434" spans="1:10" s="55" customFormat="1" ht="17.100000000000001" hidden="1" customHeight="1">
      <c r="A434" s="50" t="e">
        <f t="shared" si="16"/>
        <v>#REF!</v>
      </c>
      <c r="B434" s="51"/>
      <c r="C434" s="51" t="s">
        <v>438</v>
      </c>
      <c r="D434" s="52" t="s">
        <v>439</v>
      </c>
      <c r="E434" s="112">
        <v>2</v>
      </c>
      <c r="F434" s="53">
        <f>VLKS!$Q$22</f>
        <v>5000</v>
      </c>
      <c r="G434" s="117">
        <f>hsvl</f>
        <v>1</v>
      </c>
      <c r="H434" s="54">
        <f>ROUND(E434*F434*G434,5)</f>
        <v>10000</v>
      </c>
      <c r="I434" s="114"/>
      <c r="J434" s="110" t="e">
        <f>J431</f>
        <v>#REF!</v>
      </c>
    </row>
    <row r="435" spans="1:10" s="55" customFormat="1" ht="17.100000000000001" hidden="1" customHeight="1">
      <c r="A435" s="50" t="e">
        <f t="shared" si="16"/>
        <v>#REF!</v>
      </c>
      <c r="B435" s="51"/>
      <c r="C435" s="51" t="s">
        <v>421</v>
      </c>
      <c r="D435" s="52" t="s">
        <v>422</v>
      </c>
      <c r="E435" s="112">
        <v>0.6</v>
      </c>
      <c r="F435" s="53">
        <f>VLKS!$Q$51</f>
        <v>8000</v>
      </c>
      <c r="G435" s="117">
        <f>hsvl</f>
        <v>1</v>
      </c>
      <c r="H435" s="54">
        <f>ROUND(E435*F435*G435,5)</f>
        <v>4800</v>
      </c>
      <c r="I435" s="114"/>
      <c r="J435" s="110" t="e">
        <f>J431</f>
        <v>#REF!</v>
      </c>
    </row>
    <row r="436" spans="1:10" s="55" customFormat="1" ht="17.100000000000001" hidden="1" customHeight="1">
      <c r="A436" s="50" t="e">
        <f t="shared" si="16"/>
        <v>#REF!</v>
      </c>
      <c r="B436" s="51"/>
      <c r="C436" s="51" t="s">
        <v>127</v>
      </c>
      <c r="D436" s="52" t="s">
        <v>126</v>
      </c>
      <c r="E436" s="112">
        <v>15</v>
      </c>
      <c r="F436" s="53"/>
      <c r="G436" s="117"/>
      <c r="H436" s="54">
        <f>ROUND(SUM(H434:H435)*E436/100,5)</f>
        <v>2220</v>
      </c>
      <c r="I436" s="114"/>
      <c r="J436" s="110" t="e">
        <f>J431</f>
        <v>#REF!</v>
      </c>
    </row>
    <row r="437" spans="1:10" s="55" customFormat="1" ht="17.100000000000001" hidden="1" customHeight="1">
      <c r="A437" s="50" t="e">
        <f t="shared" si="16"/>
        <v>#REF!</v>
      </c>
      <c r="B437" s="51"/>
      <c r="C437" s="51" t="s">
        <v>125</v>
      </c>
      <c r="D437" s="52" t="s">
        <v>0</v>
      </c>
      <c r="E437" s="112"/>
      <c r="F437" s="53"/>
      <c r="G437" s="117"/>
      <c r="H437" s="56" t="e">
        <f>ROUND(SUM(H438:H439),5)</f>
        <v>#REF!</v>
      </c>
      <c r="I437" s="115"/>
      <c r="J437" s="110" t="e">
        <f>J431</f>
        <v>#REF!</v>
      </c>
    </row>
    <row r="438" spans="1:10" s="55" customFormat="1" ht="17.100000000000001" hidden="1" customHeight="1">
      <c r="A438" s="50" t="e">
        <f t="shared" si="16"/>
        <v>#REF!</v>
      </c>
      <c r="B438" s="51"/>
      <c r="C438" s="51" t="s">
        <v>423</v>
      </c>
      <c r="D438" s="52" t="s">
        <v>3</v>
      </c>
      <c r="E438" s="112">
        <v>1.37</v>
      </c>
      <c r="F438" s="53" t="e">
        <f>'NC,M KS'!$P$4</f>
        <v>#REF!</v>
      </c>
      <c r="G438" s="117">
        <f>hsnc</f>
        <v>1</v>
      </c>
      <c r="H438" s="54" t="e">
        <f>ROUND(E438*F438*G438,5)</f>
        <v>#REF!</v>
      </c>
      <c r="I438" s="114"/>
      <c r="J438" s="110" t="e">
        <f>J431</f>
        <v>#REF!</v>
      </c>
    </row>
    <row r="439" spans="1:10" s="55" customFormat="1" ht="17.100000000000001" hidden="1" customHeight="1">
      <c r="A439" s="50" t="e">
        <f t="shared" si="16"/>
        <v>#REF!</v>
      </c>
      <c r="B439" s="51"/>
      <c r="C439" s="51" t="s">
        <v>424</v>
      </c>
      <c r="D439" s="52" t="s">
        <v>3</v>
      </c>
      <c r="E439" s="112">
        <v>3.69</v>
      </c>
      <c r="F439" s="53" t="e">
        <f>'NC,M KS'!$P$6</f>
        <v>#REF!</v>
      </c>
      <c r="G439" s="117">
        <f>hsnc</f>
        <v>1</v>
      </c>
      <c r="H439" s="54" t="e">
        <f>ROUND(E439*F439*G439,5)</f>
        <v>#REF!</v>
      </c>
      <c r="I439" s="114"/>
      <c r="J439" s="110" t="e">
        <f>J431</f>
        <v>#REF!</v>
      </c>
    </row>
    <row r="440" spans="1:10" s="55" customFormat="1" ht="17.100000000000001" hidden="1" customHeight="1">
      <c r="A440" s="50" t="e">
        <f t="shared" si="16"/>
        <v>#REF!</v>
      </c>
      <c r="B440" s="51"/>
      <c r="C440" s="51" t="s">
        <v>124</v>
      </c>
      <c r="D440" s="52" t="s">
        <v>0</v>
      </c>
      <c r="E440" s="112"/>
      <c r="F440" s="53"/>
      <c r="G440" s="117"/>
      <c r="H440" s="56">
        <f>ROUND(SUM(H441:H443),5)</f>
        <v>76679.767999999996</v>
      </c>
      <c r="I440" s="115"/>
      <c r="J440" s="110" t="e">
        <f>J431</f>
        <v>#REF!</v>
      </c>
    </row>
    <row r="441" spans="1:10" s="55" customFormat="1" ht="17.100000000000001" hidden="1" customHeight="1">
      <c r="A441" s="50" t="e">
        <f t="shared" si="16"/>
        <v>#REF!</v>
      </c>
      <c r="B441" s="51"/>
      <c r="C441" s="51" t="s">
        <v>436</v>
      </c>
      <c r="D441" s="52" t="s">
        <v>4</v>
      </c>
      <c r="E441" s="112">
        <v>0.47</v>
      </c>
      <c r="F441" s="53">
        <f>'NC,M KS'!$P$28</f>
        <v>147060</v>
      </c>
      <c r="G441" s="117">
        <f>hsm</f>
        <v>1</v>
      </c>
      <c r="H441" s="54">
        <f>ROUND(E441*F441*G441,5)</f>
        <v>69118.2</v>
      </c>
      <c r="I441" s="114"/>
      <c r="J441" s="110" t="e">
        <f>J431</f>
        <v>#REF!</v>
      </c>
    </row>
    <row r="442" spans="1:10" s="55" customFormat="1" ht="17.100000000000001" hidden="1" customHeight="1">
      <c r="A442" s="50" t="e">
        <f t="shared" si="16"/>
        <v>#REF!</v>
      </c>
      <c r="B442" s="51"/>
      <c r="C442" s="51" t="s">
        <v>425</v>
      </c>
      <c r="D442" s="52" t="s">
        <v>4</v>
      </c>
      <c r="E442" s="112">
        <f>0.04</f>
        <v>0.04</v>
      </c>
      <c r="F442" s="53">
        <f>'NC,M KS'!$P$27</f>
        <v>14767</v>
      </c>
      <c r="G442" s="117">
        <f>hsm</f>
        <v>1</v>
      </c>
      <c r="H442" s="54">
        <f>ROUND(E442*F442*G442,5)</f>
        <v>590.67999999999995</v>
      </c>
      <c r="I442" s="114"/>
      <c r="J442" s="110" t="e">
        <f>J431</f>
        <v>#REF!</v>
      </c>
    </row>
    <row r="443" spans="1:10" s="55" customFormat="1" ht="17.100000000000001" hidden="1" customHeight="1">
      <c r="A443" s="50" t="e">
        <f t="shared" si="16"/>
        <v>#REF!</v>
      </c>
      <c r="B443" s="51"/>
      <c r="C443" s="51" t="s">
        <v>130</v>
      </c>
      <c r="D443" s="52" t="s">
        <v>126</v>
      </c>
      <c r="E443" s="112">
        <f>10</f>
        <v>10</v>
      </c>
      <c r="F443" s="53"/>
      <c r="G443" s="117"/>
      <c r="H443" s="54">
        <f>ROUND(SUM(H441:H442)*E443/100,5)</f>
        <v>6970.8879999999999</v>
      </c>
      <c r="I443" s="114"/>
      <c r="J443" s="110" t="e">
        <f>J431</f>
        <v>#REF!</v>
      </c>
    </row>
    <row r="444" spans="1:10" s="55" customFormat="1" ht="17.100000000000001" hidden="1" customHeight="1">
      <c r="A444" s="50" t="e">
        <f t="shared" si="16"/>
        <v>#REF!</v>
      </c>
      <c r="B444" s="51"/>
      <c r="C444" s="170" t="s">
        <v>556</v>
      </c>
      <c r="D444" s="171" t="s">
        <v>136</v>
      </c>
      <c r="E444" s="172" t="s">
        <v>205</v>
      </c>
      <c r="F444" s="53"/>
      <c r="G444" s="117"/>
      <c r="H444" s="173" t="e">
        <f>ROUND(H433+H437+H440,5)</f>
        <v>#REF!</v>
      </c>
      <c r="I444" s="114"/>
      <c r="J444" s="110" t="e">
        <f>J431</f>
        <v>#REF!</v>
      </c>
    </row>
    <row r="445" spans="1:10" s="55" customFormat="1" ht="17.100000000000001" hidden="1" customHeight="1">
      <c r="A445" s="50" t="e">
        <f t="shared" si="16"/>
        <v>#REF!</v>
      </c>
      <c r="B445" s="51"/>
      <c r="C445" s="170" t="s">
        <v>557</v>
      </c>
      <c r="D445" s="171" t="s">
        <v>204</v>
      </c>
      <c r="E445" s="172" t="s">
        <v>558</v>
      </c>
      <c r="F445" s="53"/>
      <c r="G445" s="117"/>
      <c r="H445" s="173" t="e">
        <f>SUM(H446:H447)</f>
        <v>#REF!</v>
      </c>
      <c r="I445" s="114"/>
      <c r="J445" s="110" t="e">
        <f>J431</f>
        <v>#REF!</v>
      </c>
    </row>
    <row r="446" spans="1:10" s="55" customFormat="1" ht="17.100000000000001" hidden="1" customHeight="1">
      <c r="A446" s="50" t="e">
        <f t="shared" si="16"/>
        <v>#REF!</v>
      </c>
      <c r="B446" s="51"/>
      <c r="C446" s="51" t="s">
        <v>426</v>
      </c>
      <c r="D446" s="52" t="s">
        <v>559</v>
      </c>
      <c r="E446" s="116">
        <f>cpc</f>
        <v>0.7</v>
      </c>
      <c r="F446" s="174"/>
      <c r="G446" s="175"/>
      <c r="H446" s="54" t="e">
        <f>E446*H437</f>
        <v>#REF!</v>
      </c>
      <c r="I446" s="114"/>
      <c r="J446" s="110" t="e">
        <f>J431</f>
        <v>#REF!</v>
      </c>
    </row>
    <row r="447" spans="1:10" s="55" customFormat="1" ht="17.100000000000001" hidden="1" customHeight="1">
      <c r="A447" s="50" t="e">
        <f t="shared" si="16"/>
        <v>#REF!</v>
      </c>
      <c r="B447" s="51"/>
      <c r="C447" s="78" t="s">
        <v>560</v>
      </c>
      <c r="D447" s="79" t="s">
        <v>561</v>
      </c>
      <c r="E447" s="176">
        <f>hmc</f>
        <v>0.05</v>
      </c>
      <c r="F447" s="53"/>
      <c r="G447" s="113"/>
      <c r="H447" s="54" t="e">
        <f>E447*H444</f>
        <v>#REF!</v>
      </c>
      <c r="I447" s="114"/>
      <c r="J447" s="110" t="e">
        <f>J431</f>
        <v>#REF!</v>
      </c>
    </row>
    <row r="448" spans="1:10" s="55" customFormat="1" ht="17.100000000000001" hidden="1" customHeight="1">
      <c r="A448" s="50" t="e">
        <f t="shared" si="16"/>
        <v>#REF!</v>
      </c>
      <c r="B448" s="51"/>
      <c r="C448" s="170" t="s">
        <v>562</v>
      </c>
      <c r="D448" s="171" t="s">
        <v>563</v>
      </c>
      <c r="E448" s="179">
        <f>tn</f>
        <v>0.06</v>
      </c>
      <c r="F448" s="177"/>
      <c r="G448" s="178"/>
      <c r="H448" s="181" t="e">
        <f>SUM(H444:H445)*E448</f>
        <v>#REF!</v>
      </c>
      <c r="I448" s="114"/>
      <c r="J448" s="110" t="e">
        <f>J431</f>
        <v>#REF!</v>
      </c>
    </row>
    <row r="449" spans="1:10" s="55" customFormat="1" ht="17.100000000000001" hidden="1" customHeight="1">
      <c r="A449" s="50" t="e">
        <f t="shared" si="16"/>
        <v>#REF!</v>
      </c>
      <c r="B449" s="51"/>
      <c r="C449" s="92" t="s">
        <v>1879</v>
      </c>
      <c r="D449" s="171" t="s">
        <v>227</v>
      </c>
      <c r="E449" s="180" t="s">
        <v>564</v>
      </c>
      <c r="F449" s="174"/>
      <c r="G449" s="175"/>
      <c r="H449" s="173" t="e">
        <f>SUM(H450:H451)</f>
        <v>#REF!</v>
      </c>
      <c r="I449" s="114"/>
      <c r="J449" s="110" t="e">
        <f>J431</f>
        <v>#REF!</v>
      </c>
    </row>
    <row r="450" spans="1:10" s="55" customFormat="1" ht="17.100000000000001" hidden="1" customHeight="1">
      <c r="A450" s="50" t="e">
        <f t="shared" si="16"/>
        <v>#REF!</v>
      </c>
      <c r="B450" s="51"/>
      <c r="C450" s="51" t="s">
        <v>427</v>
      </c>
      <c r="D450" s="52" t="s">
        <v>428</v>
      </c>
      <c r="E450" s="1093">
        <f>paks</f>
        <v>0</v>
      </c>
      <c r="F450" s="174"/>
      <c r="G450" s="175"/>
      <c r="H450" s="54" t="e">
        <f>(H444+H445+H448)*E450</f>
        <v>#REF!</v>
      </c>
      <c r="I450" s="114"/>
      <c r="J450" s="110" t="e">
        <f>J431</f>
        <v>#REF!</v>
      </c>
    </row>
    <row r="451" spans="1:10" s="55" customFormat="1" ht="17.100000000000001" hidden="1" customHeight="1">
      <c r="A451" s="50" t="e">
        <f t="shared" si="16"/>
        <v>#REF!</v>
      </c>
      <c r="B451" s="51"/>
      <c r="C451" s="51" t="s">
        <v>429</v>
      </c>
      <c r="D451" s="52" t="s">
        <v>430</v>
      </c>
      <c r="E451" s="1093">
        <f>bcks</f>
        <v>0.03</v>
      </c>
      <c r="F451" s="53"/>
      <c r="G451" s="113"/>
      <c r="H451" s="54" t="e">
        <f>(H444+H445+H448)*E451</f>
        <v>#REF!</v>
      </c>
      <c r="I451" s="114"/>
      <c r="J451" s="110" t="e">
        <f>J431</f>
        <v>#REF!</v>
      </c>
    </row>
    <row r="452" spans="1:10" s="55" customFormat="1" ht="17.100000000000001" hidden="1" customHeight="1">
      <c r="A452" s="50" t="e">
        <f t="shared" si="16"/>
        <v>#REF!</v>
      </c>
      <c r="B452" s="51"/>
      <c r="C452" s="170" t="s">
        <v>565</v>
      </c>
      <c r="D452" s="171" t="s">
        <v>218</v>
      </c>
      <c r="E452" s="172" t="s">
        <v>566</v>
      </c>
      <c r="F452" s="53"/>
      <c r="G452" s="113"/>
      <c r="H452" s="173" t="e">
        <f>H444+H445+H448+H449</f>
        <v>#REF!</v>
      </c>
      <c r="I452" s="114"/>
      <c r="J452" s="715" t="e">
        <f>J431</f>
        <v>#REF!</v>
      </c>
    </row>
    <row r="453" spans="1:10" s="55" customFormat="1" ht="17.100000000000001" hidden="1" customHeight="1">
      <c r="A453" s="50" t="e">
        <f t="shared" si="16"/>
        <v>#REF!</v>
      </c>
      <c r="B453" s="51"/>
      <c r="C453" s="51" t="s">
        <v>567</v>
      </c>
      <c r="D453" s="52" t="s">
        <v>222</v>
      </c>
      <c r="E453" s="112" t="s">
        <v>1917</v>
      </c>
      <c r="F453" s="174"/>
      <c r="G453" s="175"/>
      <c r="H453" s="54" t="e">
        <f>ROUND(H452*10/100,5)</f>
        <v>#REF!</v>
      </c>
      <c r="I453" s="114"/>
      <c r="J453" s="715" t="e">
        <f>J431</f>
        <v>#REF!</v>
      </c>
    </row>
    <row r="454" spans="1:10" s="55" customFormat="1" ht="17.100000000000001" hidden="1" customHeight="1">
      <c r="A454" s="50" t="e">
        <f t="shared" si="16"/>
        <v>#REF!</v>
      </c>
      <c r="B454" s="51"/>
      <c r="C454" s="170" t="s">
        <v>568</v>
      </c>
      <c r="D454" s="171" t="s">
        <v>225</v>
      </c>
      <c r="E454" s="172" t="s">
        <v>192</v>
      </c>
      <c r="F454" s="53"/>
      <c r="G454" s="117"/>
      <c r="H454" s="56" t="e">
        <f>ROUND(H452+H453,5)</f>
        <v>#REF!</v>
      </c>
      <c r="I454" s="115"/>
      <c r="J454" s="715" t="e">
        <f>J431</f>
        <v>#REF!</v>
      </c>
    </row>
    <row r="455" spans="1:10" s="263" customFormat="1" ht="17.100000000000001" hidden="1" customHeight="1">
      <c r="A455" s="264" t="e">
        <f t="shared" si="16"/>
        <v>#REF!</v>
      </c>
      <c r="B455" s="265" t="s">
        <v>366</v>
      </c>
      <c r="C455" s="265" t="s">
        <v>367</v>
      </c>
      <c r="D455" s="266" t="s">
        <v>308</v>
      </c>
      <c r="E455" s="270"/>
      <c r="F455" s="267"/>
      <c r="G455" s="271"/>
      <c r="H455" s="268" t="e">
        <f>H478</f>
        <v>#REF!</v>
      </c>
      <c r="I455" s="272"/>
      <c r="J455" s="273">
        <f>IF(SUMIF(Khaosat!$B$6:$B$47,'PT giaKS'!B455,Khaosat!$I$6:$I$47)&lt;&gt;0,$J$6,0)</f>
        <v>0</v>
      </c>
    </row>
    <row r="456" spans="1:10" s="55" customFormat="1" ht="17.100000000000001" hidden="1" customHeight="1">
      <c r="A456" s="50" t="e">
        <f t="shared" si="16"/>
        <v>#REF!</v>
      </c>
      <c r="B456" s="51"/>
      <c r="C456" s="51" t="s">
        <v>358</v>
      </c>
      <c r="D456" s="52" t="s">
        <v>0</v>
      </c>
      <c r="E456" s="112"/>
      <c r="F456" s="53"/>
      <c r="G456" s="117"/>
      <c r="H456" s="54"/>
      <c r="I456" s="114"/>
      <c r="J456" s="110">
        <f>J455</f>
        <v>0</v>
      </c>
    </row>
    <row r="457" spans="1:10" s="55" customFormat="1" ht="17.100000000000001" hidden="1" customHeight="1">
      <c r="A457" s="50" t="e">
        <f t="shared" ref="A457:A520" si="17">IF(B457&lt;&gt;0,A456+J457,A456)</f>
        <v>#REF!</v>
      </c>
      <c r="B457" s="51"/>
      <c r="C457" s="51" t="s">
        <v>128</v>
      </c>
      <c r="D457" s="52" t="s">
        <v>0</v>
      </c>
      <c r="E457" s="112"/>
      <c r="F457" s="53"/>
      <c r="G457" s="117"/>
      <c r="H457" s="56">
        <f>ROUND(SUM(H458:H460),5)</f>
        <v>22660</v>
      </c>
      <c r="I457" s="115"/>
      <c r="J457" s="110">
        <f>J455</f>
        <v>0</v>
      </c>
    </row>
    <row r="458" spans="1:10" s="55" customFormat="1" ht="17.100000000000001" hidden="1" customHeight="1">
      <c r="A458" s="50" t="e">
        <f t="shared" si="17"/>
        <v>#REF!</v>
      </c>
      <c r="B458" s="51"/>
      <c r="C458" s="51" t="s">
        <v>438</v>
      </c>
      <c r="D458" s="52" t="s">
        <v>439</v>
      </c>
      <c r="E458" s="112">
        <f>3</f>
        <v>3</v>
      </c>
      <c r="F458" s="53">
        <f>VLKS!$Q$22</f>
        <v>5000</v>
      </c>
      <c r="G458" s="117">
        <f>hsvl</f>
        <v>1</v>
      </c>
      <c r="H458" s="54">
        <f>ROUND(E458*F458*G458,5)</f>
        <v>15000</v>
      </c>
      <c r="I458" s="114"/>
      <c r="J458" s="110">
        <f>J455</f>
        <v>0</v>
      </c>
    </row>
    <row r="459" spans="1:10" s="55" customFormat="1" ht="17.100000000000001" hidden="1" customHeight="1">
      <c r="A459" s="50" t="e">
        <f t="shared" si="17"/>
        <v>#REF!</v>
      </c>
      <c r="B459" s="51"/>
      <c r="C459" s="51" t="s">
        <v>421</v>
      </c>
      <c r="D459" s="52" t="s">
        <v>422</v>
      </c>
      <c r="E459" s="112">
        <f>0.7</f>
        <v>0.7</v>
      </c>
      <c r="F459" s="53">
        <f>VLKS!$Q$51</f>
        <v>8000</v>
      </c>
      <c r="G459" s="117">
        <f>hsvl</f>
        <v>1</v>
      </c>
      <c r="H459" s="54">
        <f>ROUND(E459*F459*G459,5)</f>
        <v>5600</v>
      </c>
      <c r="I459" s="114"/>
      <c r="J459" s="110">
        <f>J455</f>
        <v>0</v>
      </c>
    </row>
    <row r="460" spans="1:10" s="55" customFormat="1" ht="17.100000000000001" hidden="1" customHeight="1">
      <c r="A460" s="50" t="e">
        <f t="shared" si="17"/>
        <v>#REF!</v>
      </c>
      <c r="B460" s="51"/>
      <c r="C460" s="51" t="s">
        <v>127</v>
      </c>
      <c r="D460" s="52" t="s">
        <v>126</v>
      </c>
      <c r="E460" s="112">
        <f>10</f>
        <v>10</v>
      </c>
      <c r="F460" s="53"/>
      <c r="G460" s="117"/>
      <c r="H460" s="54">
        <f>ROUND(SUM(H458:H459)*E460/100,5)</f>
        <v>2060</v>
      </c>
      <c r="I460" s="114"/>
      <c r="J460" s="110">
        <f>J455</f>
        <v>0</v>
      </c>
    </row>
    <row r="461" spans="1:10" s="55" customFormat="1" ht="17.100000000000001" hidden="1" customHeight="1">
      <c r="A461" s="50" t="e">
        <f t="shared" si="17"/>
        <v>#REF!</v>
      </c>
      <c r="B461" s="51"/>
      <c r="C461" s="51" t="s">
        <v>125</v>
      </c>
      <c r="D461" s="52" t="s">
        <v>0</v>
      </c>
      <c r="E461" s="112"/>
      <c r="F461" s="53"/>
      <c r="G461" s="117"/>
      <c r="H461" s="56" t="e">
        <f>ROUND(SUM(H462:H463),5)</f>
        <v>#REF!</v>
      </c>
      <c r="I461" s="115"/>
      <c r="J461" s="110">
        <f>J455</f>
        <v>0</v>
      </c>
    </row>
    <row r="462" spans="1:10" s="55" customFormat="1" ht="17.100000000000001" hidden="1" customHeight="1">
      <c r="A462" s="50" t="e">
        <f t="shared" si="17"/>
        <v>#REF!</v>
      </c>
      <c r="B462" s="51"/>
      <c r="C462" s="51" t="s">
        <v>423</v>
      </c>
      <c r="D462" s="52" t="s">
        <v>3</v>
      </c>
      <c r="E462" s="112">
        <f>2.32</f>
        <v>2.3199999999999998</v>
      </c>
      <c r="F462" s="53" t="e">
        <f>'NC,M KS'!$P$4</f>
        <v>#REF!</v>
      </c>
      <c r="G462" s="117">
        <f>hsnc</f>
        <v>1</v>
      </c>
      <c r="H462" s="54" t="e">
        <f>ROUND(E462*F462*G462,5)</f>
        <v>#REF!</v>
      </c>
      <c r="I462" s="114"/>
      <c r="J462" s="110">
        <f>J455</f>
        <v>0</v>
      </c>
    </row>
    <row r="463" spans="1:10" s="55" customFormat="1" ht="17.100000000000001" hidden="1" customHeight="1">
      <c r="A463" s="50" t="e">
        <f t="shared" si="17"/>
        <v>#REF!</v>
      </c>
      <c r="B463" s="51"/>
      <c r="C463" s="51" t="s">
        <v>424</v>
      </c>
      <c r="D463" s="52" t="s">
        <v>3</v>
      </c>
      <c r="E463" s="112">
        <f>6.25</f>
        <v>6.25</v>
      </c>
      <c r="F463" s="53" t="e">
        <f>'NC,M KS'!$P$6</f>
        <v>#REF!</v>
      </c>
      <c r="G463" s="117">
        <f>hsnc</f>
        <v>1</v>
      </c>
      <c r="H463" s="54" t="e">
        <f>ROUND(E463*F463*G463,5)</f>
        <v>#REF!</v>
      </c>
      <c r="I463" s="114"/>
      <c r="J463" s="110">
        <f>J455</f>
        <v>0</v>
      </c>
    </row>
    <row r="464" spans="1:10" s="55" customFormat="1" ht="17.100000000000001" hidden="1" customHeight="1">
      <c r="A464" s="50" t="e">
        <f t="shared" si="17"/>
        <v>#REF!</v>
      </c>
      <c r="B464" s="51"/>
      <c r="C464" s="51" t="s">
        <v>124</v>
      </c>
      <c r="D464" s="52" t="s">
        <v>0</v>
      </c>
      <c r="E464" s="112"/>
      <c r="F464" s="53"/>
      <c r="G464" s="117"/>
      <c r="H464" s="56">
        <f>ROUND(SUM(H465:H467),5)</f>
        <v>123591.908</v>
      </c>
      <c r="I464" s="115"/>
      <c r="J464" s="110">
        <f>J455</f>
        <v>0</v>
      </c>
    </row>
    <row r="465" spans="1:10" s="55" customFormat="1" ht="17.100000000000001" hidden="1" customHeight="1">
      <c r="A465" s="50" t="e">
        <f t="shared" si="17"/>
        <v>#REF!</v>
      </c>
      <c r="B465" s="51"/>
      <c r="C465" s="51" t="s">
        <v>436</v>
      </c>
      <c r="D465" s="52" t="s">
        <v>4</v>
      </c>
      <c r="E465" s="112">
        <f>0.76</f>
        <v>0.76</v>
      </c>
      <c r="F465" s="53">
        <f>'NC,M KS'!$P$28</f>
        <v>147060</v>
      </c>
      <c r="G465" s="117">
        <f>hsm</f>
        <v>1</v>
      </c>
      <c r="H465" s="54">
        <f>ROUND(E465*F465*G465,5)</f>
        <v>111765.6</v>
      </c>
      <c r="I465" s="114"/>
      <c r="J465" s="110">
        <f>J455</f>
        <v>0</v>
      </c>
    </row>
    <row r="466" spans="1:10" s="55" customFormat="1" ht="17.100000000000001" hidden="1" customHeight="1">
      <c r="A466" s="50" t="e">
        <f t="shared" si="17"/>
        <v>#REF!</v>
      </c>
      <c r="B466" s="51"/>
      <c r="C466" s="51" t="s">
        <v>425</v>
      </c>
      <c r="D466" s="52" t="s">
        <v>4</v>
      </c>
      <c r="E466" s="112">
        <f>0.04</f>
        <v>0.04</v>
      </c>
      <c r="F466" s="53">
        <f>'NC,M KS'!$P$27</f>
        <v>14767</v>
      </c>
      <c r="G466" s="117">
        <f>hsm</f>
        <v>1</v>
      </c>
      <c r="H466" s="54">
        <f>ROUND(E466*F466*G466,5)</f>
        <v>590.67999999999995</v>
      </c>
      <c r="I466" s="114"/>
      <c r="J466" s="110">
        <f>J455</f>
        <v>0</v>
      </c>
    </row>
    <row r="467" spans="1:10" s="55" customFormat="1" ht="17.100000000000001" hidden="1" customHeight="1">
      <c r="A467" s="50" t="e">
        <f t="shared" si="17"/>
        <v>#REF!</v>
      </c>
      <c r="B467" s="51"/>
      <c r="C467" s="51" t="s">
        <v>130</v>
      </c>
      <c r="D467" s="52" t="s">
        <v>126</v>
      </c>
      <c r="E467" s="112">
        <f>10</f>
        <v>10</v>
      </c>
      <c r="F467" s="53"/>
      <c r="G467" s="117"/>
      <c r="H467" s="54">
        <f>ROUND(SUM(H465:H466)*E467/100,5)</f>
        <v>11235.628000000001</v>
      </c>
      <c r="I467" s="114"/>
      <c r="J467" s="110">
        <f>J455</f>
        <v>0</v>
      </c>
    </row>
    <row r="468" spans="1:10" s="55" customFormat="1" ht="17.100000000000001" hidden="1" customHeight="1">
      <c r="A468" s="50" t="e">
        <f t="shared" si="17"/>
        <v>#REF!</v>
      </c>
      <c r="B468" s="51"/>
      <c r="C468" s="170" t="s">
        <v>556</v>
      </c>
      <c r="D468" s="171" t="s">
        <v>136</v>
      </c>
      <c r="E468" s="172" t="s">
        <v>205</v>
      </c>
      <c r="F468" s="53"/>
      <c r="G468" s="117"/>
      <c r="H468" s="173" t="e">
        <f>ROUND(H457+H461+H464,5)</f>
        <v>#REF!</v>
      </c>
      <c r="I468" s="114"/>
      <c r="J468" s="110">
        <f>J455</f>
        <v>0</v>
      </c>
    </row>
    <row r="469" spans="1:10" s="55" customFormat="1" ht="17.100000000000001" hidden="1" customHeight="1">
      <c r="A469" s="50" t="e">
        <f t="shared" si="17"/>
        <v>#REF!</v>
      </c>
      <c r="B469" s="51"/>
      <c r="C469" s="170" t="s">
        <v>557</v>
      </c>
      <c r="D469" s="171" t="s">
        <v>204</v>
      </c>
      <c r="E469" s="172" t="s">
        <v>558</v>
      </c>
      <c r="F469" s="53"/>
      <c r="G469" s="117"/>
      <c r="H469" s="173" t="e">
        <f>SUM(H470:H471)</f>
        <v>#REF!</v>
      </c>
      <c r="I469" s="114"/>
      <c r="J469" s="110">
        <f>J455</f>
        <v>0</v>
      </c>
    </row>
    <row r="470" spans="1:10" s="55" customFormat="1" ht="17.100000000000001" hidden="1" customHeight="1">
      <c r="A470" s="50" t="e">
        <f t="shared" si="17"/>
        <v>#REF!</v>
      </c>
      <c r="B470" s="51"/>
      <c r="C470" s="51" t="s">
        <v>426</v>
      </c>
      <c r="D470" s="52" t="s">
        <v>559</v>
      </c>
      <c r="E470" s="116">
        <f>cpc</f>
        <v>0.7</v>
      </c>
      <c r="F470" s="174"/>
      <c r="G470" s="175"/>
      <c r="H470" s="54" t="e">
        <f>E470*H461</f>
        <v>#REF!</v>
      </c>
      <c r="I470" s="114"/>
      <c r="J470" s="110">
        <f>J455</f>
        <v>0</v>
      </c>
    </row>
    <row r="471" spans="1:10" s="55" customFormat="1" ht="17.100000000000001" hidden="1" customHeight="1">
      <c r="A471" s="50" t="e">
        <f t="shared" si="17"/>
        <v>#REF!</v>
      </c>
      <c r="B471" s="51"/>
      <c r="C471" s="78" t="s">
        <v>560</v>
      </c>
      <c r="D471" s="79" t="s">
        <v>561</v>
      </c>
      <c r="E471" s="176">
        <f>hmc</f>
        <v>0.05</v>
      </c>
      <c r="F471" s="53"/>
      <c r="G471" s="113"/>
      <c r="H471" s="54" t="e">
        <f>E471*H468</f>
        <v>#REF!</v>
      </c>
      <c r="I471" s="114"/>
      <c r="J471" s="110">
        <f>J455</f>
        <v>0</v>
      </c>
    </row>
    <row r="472" spans="1:10" s="55" customFormat="1" ht="17.100000000000001" hidden="1" customHeight="1">
      <c r="A472" s="50" t="e">
        <f t="shared" si="17"/>
        <v>#REF!</v>
      </c>
      <c r="B472" s="51"/>
      <c r="C472" s="170" t="s">
        <v>562</v>
      </c>
      <c r="D472" s="171" t="s">
        <v>563</v>
      </c>
      <c r="E472" s="179">
        <f>tn</f>
        <v>0.06</v>
      </c>
      <c r="F472" s="177"/>
      <c r="G472" s="178"/>
      <c r="H472" s="181" t="e">
        <f>SUM(H468:H469)*E472</f>
        <v>#REF!</v>
      </c>
      <c r="I472" s="114"/>
      <c r="J472" s="110">
        <f>J455</f>
        <v>0</v>
      </c>
    </row>
    <row r="473" spans="1:10" s="55" customFormat="1" ht="17.100000000000001" hidden="1" customHeight="1">
      <c r="A473" s="50" t="e">
        <f t="shared" si="17"/>
        <v>#REF!</v>
      </c>
      <c r="B473" s="51"/>
      <c r="C473" s="92" t="s">
        <v>1879</v>
      </c>
      <c r="D473" s="171" t="s">
        <v>227</v>
      </c>
      <c r="E473" s="180" t="s">
        <v>564</v>
      </c>
      <c r="F473" s="174"/>
      <c r="G473" s="175"/>
      <c r="H473" s="173" t="e">
        <f>SUM(H474:H475)</f>
        <v>#REF!</v>
      </c>
      <c r="I473" s="114"/>
      <c r="J473" s="110">
        <f>J455</f>
        <v>0</v>
      </c>
    </row>
    <row r="474" spans="1:10" s="55" customFormat="1" ht="17.100000000000001" hidden="1" customHeight="1">
      <c r="A474" s="50" t="e">
        <f t="shared" si="17"/>
        <v>#REF!</v>
      </c>
      <c r="B474" s="51"/>
      <c r="C474" s="51" t="s">
        <v>427</v>
      </c>
      <c r="D474" s="52" t="s">
        <v>428</v>
      </c>
      <c r="E474" s="1093">
        <f>paks</f>
        <v>0</v>
      </c>
      <c r="F474" s="174"/>
      <c r="G474" s="175"/>
      <c r="H474" s="54" t="e">
        <f>(H468+H469+H472)*E474</f>
        <v>#REF!</v>
      </c>
      <c r="I474" s="114"/>
      <c r="J474" s="110">
        <f>J455</f>
        <v>0</v>
      </c>
    </row>
    <row r="475" spans="1:10" s="55" customFormat="1" ht="17.100000000000001" hidden="1" customHeight="1">
      <c r="A475" s="50" t="e">
        <f t="shared" si="17"/>
        <v>#REF!</v>
      </c>
      <c r="B475" s="51"/>
      <c r="C475" s="51" t="s">
        <v>429</v>
      </c>
      <c r="D475" s="52" t="s">
        <v>430</v>
      </c>
      <c r="E475" s="1093">
        <f>bcks</f>
        <v>0.03</v>
      </c>
      <c r="F475" s="53"/>
      <c r="G475" s="113"/>
      <c r="H475" s="54" t="e">
        <f>(H468+H469+H472)*E475</f>
        <v>#REF!</v>
      </c>
      <c r="I475" s="114"/>
      <c r="J475" s="110">
        <f>J455</f>
        <v>0</v>
      </c>
    </row>
    <row r="476" spans="1:10" s="55" customFormat="1" ht="17.100000000000001" hidden="1" customHeight="1">
      <c r="A476" s="50" t="e">
        <f t="shared" si="17"/>
        <v>#REF!</v>
      </c>
      <c r="B476" s="51"/>
      <c r="C476" s="170" t="s">
        <v>565</v>
      </c>
      <c r="D476" s="171" t="s">
        <v>218</v>
      </c>
      <c r="E476" s="172" t="s">
        <v>566</v>
      </c>
      <c r="F476" s="53"/>
      <c r="G476" s="113"/>
      <c r="H476" s="173" t="e">
        <f>H468+H469+H472+H473</f>
        <v>#REF!</v>
      </c>
      <c r="I476" s="114"/>
      <c r="J476" s="715">
        <f>J455</f>
        <v>0</v>
      </c>
    </row>
    <row r="477" spans="1:10" s="55" customFormat="1" ht="17.100000000000001" hidden="1" customHeight="1">
      <c r="A477" s="50" t="e">
        <f t="shared" si="17"/>
        <v>#REF!</v>
      </c>
      <c r="B477" s="51"/>
      <c r="C477" s="51" t="s">
        <v>567</v>
      </c>
      <c r="D477" s="52" t="s">
        <v>222</v>
      </c>
      <c r="E477" s="112" t="s">
        <v>1917</v>
      </c>
      <c r="F477" s="174"/>
      <c r="G477" s="175"/>
      <c r="H477" s="54" t="e">
        <f>ROUND(H476*10/100,5)</f>
        <v>#REF!</v>
      </c>
      <c r="I477" s="114"/>
      <c r="J477" s="715">
        <f>J455</f>
        <v>0</v>
      </c>
    </row>
    <row r="478" spans="1:10" s="55" customFormat="1" ht="17.100000000000001" hidden="1" customHeight="1">
      <c r="A478" s="50" t="e">
        <f t="shared" si="17"/>
        <v>#REF!</v>
      </c>
      <c r="B478" s="51"/>
      <c r="C478" s="170" t="s">
        <v>568</v>
      </c>
      <c r="D478" s="171" t="s">
        <v>225</v>
      </c>
      <c r="E478" s="172" t="s">
        <v>192</v>
      </c>
      <c r="F478" s="53"/>
      <c r="G478" s="117"/>
      <c r="H478" s="56" t="e">
        <f>ROUND(H476+H477,5)</f>
        <v>#REF!</v>
      </c>
      <c r="I478" s="115"/>
      <c r="J478" s="715">
        <f>J455</f>
        <v>0</v>
      </c>
    </row>
    <row r="479" spans="1:10" s="263" customFormat="1" ht="17.100000000000001" hidden="1" customHeight="1">
      <c r="A479" s="264" t="e">
        <f t="shared" si="17"/>
        <v>#REF!</v>
      </c>
      <c r="B479" s="265" t="s">
        <v>368</v>
      </c>
      <c r="C479" s="265" t="s">
        <v>367</v>
      </c>
      <c r="D479" s="266" t="s">
        <v>308</v>
      </c>
      <c r="E479" s="270"/>
      <c r="F479" s="267"/>
      <c r="G479" s="271"/>
      <c r="H479" s="268" t="e">
        <f>H502</f>
        <v>#REF!</v>
      </c>
      <c r="I479" s="272"/>
      <c r="J479" s="273">
        <f>IF(SUMIF(Khaosat!$B$6:$B$47,'PT giaKS'!B479,Khaosat!$I$6:$I$47)&lt;&gt;0,$J$6,0)</f>
        <v>0</v>
      </c>
    </row>
    <row r="480" spans="1:10" s="55" customFormat="1" ht="17.100000000000001" hidden="1" customHeight="1">
      <c r="A480" s="50" t="e">
        <f t="shared" si="17"/>
        <v>#REF!</v>
      </c>
      <c r="B480" s="51"/>
      <c r="C480" s="51" t="s">
        <v>360</v>
      </c>
      <c r="D480" s="52" t="s">
        <v>0</v>
      </c>
      <c r="E480" s="112"/>
      <c r="F480" s="53"/>
      <c r="G480" s="117"/>
      <c r="H480" s="54"/>
      <c r="I480" s="114"/>
      <c r="J480" s="110">
        <f>J479</f>
        <v>0</v>
      </c>
    </row>
    <row r="481" spans="1:10" s="55" customFormat="1" ht="17.100000000000001" hidden="1" customHeight="1">
      <c r="A481" s="50" t="e">
        <f t="shared" si="17"/>
        <v>#REF!</v>
      </c>
      <c r="B481" s="51"/>
      <c r="C481" s="51" t="s">
        <v>128</v>
      </c>
      <c r="D481" s="52" t="s">
        <v>0</v>
      </c>
      <c r="E481" s="112"/>
      <c r="F481" s="53"/>
      <c r="G481" s="117"/>
      <c r="H481" s="56">
        <f>ROUND(SUM(H482:H484),5)</f>
        <v>22660</v>
      </c>
      <c r="I481" s="115"/>
      <c r="J481" s="110">
        <f>J479</f>
        <v>0</v>
      </c>
    </row>
    <row r="482" spans="1:10" s="55" customFormat="1" ht="17.100000000000001" hidden="1" customHeight="1">
      <c r="A482" s="50" t="e">
        <f t="shared" si="17"/>
        <v>#REF!</v>
      </c>
      <c r="B482" s="51"/>
      <c r="C482" s="51" t="s">
        <v>438</v>
      </c>
      <c r="D482" s="52" t="s">
        <v>439</v>
      </c>
      <c r="E482" s="112">
        <f>3</f>
        <v>3</v>
      </c>
      <c r="F482" s="53">
        <f>VLKS!Q22</f>
        <v>5000</v>
      </c>
      <c r="G482" s="117">
        <f>hsvl</f>
        <v>1</v>
      </c>
      <c r="H482" s="54">
        <f>ROUND(E482*F482*G482,5)</f>
        <v>15000</v>
      </c>
      <c r="I482" s="114"/>
      <c r="J482" s="110">
        <f>J479</f>
        <v>0</v>
      </c>
    </row>
    <row r="483" spans="1:10" s="55" customFormat="1" ht="17.100000000000001" hidden="1" customHeight="1">
      <c r="A483" s="50" t="e">
        <f t="shared" si="17"/>
        <v>#REF!</v>
      </c>
      <c r="B483" s="51"/>
      <c r="C483" s="51" t="s">
        <v>421</v>
      </c>
      <c r="D483" s="52" t="s">
        <v>422</v>
      </c>
      <c r="E483" s="112">
        <f>0.7</f>
        <v>0.7</v>
      </c>
      <c r="F483" s="53">
        <f>VLKS!Q51</f>
        <v>8000</v>
      </c>
      <c r="G483" s="117">
        <f>hsvl</f>
        <v>1</v>
      </c>
      <c r="H483" s="54">
        <f>ROUND(E483*F483*G483,5)</f>
        <v>5600</v>
      </c>
      <c r="I483" s="114"/>
      <c r="J483" s="110">
        <f>J479</f>
        <v>0</v>
      </c>
    </row>
    <row r="484" spans="1:10" s="55" customFormat="1" ht="17.100000000000001" hidden="1" customHeight="1">
      <c r="A484" s="50" t="e">
        <f t="shared" si="17"/>
        <v>#REF!</v>
      </c>
      <c r="B484" s="51"/>
      <c r="C484" s="51" t="s">
        <v>127</v>
      </c>
      <c r="D484" s="52" t="s">
        <v>126</v>
      </c>
      <c r="E484" s="112">
        <f>10</f>
        <v>10</v>
      </c>
      <c r="F484" s="53"/>
      <c r="G484" s="117"/>
      <c r="H484" s="54">
        <f>ROUND(SUM(H482:H483)*E484/100,5)</f>
        <v>2060</v>
      </c>
      <c r="I484" s="114"/>
      <c r="J484" s="110">
        <f>J479</f>
        <v>0</v>
      </c>
    </row>
    <row r="485" spans="1:10" s="55" customFormat="1" ht="17.100000000000001" hidden="1" customHeight="1">
      <c r="A485" s="50" t="e">
        <f t="shared" si="17"/>
        <v>#REF!</v>
      </c>
      <c r="B485" s="51"/>
      <c r="C485" s="51" t="s">
        <v>125</v>
      </c>
      <c r="D485" s="52" t="s">
        <v>0</v>
      </c>
      <c r="E485" s="112"/>
      <c r="F485" s="53"/>
      <c r="G485" s="117"/>
      <c r="H485" s="56" t="e">
        <f>ROUND(SUM(H486:H487),5)</f>
        <v>#REF!</v>
      </c>
      <c r="I485" s="115"/>
      <c r="J485" s="110">
        <f>J479</f>
        <v>0</v>
      </c>
    </row>
    <row r="486" spans="1:10" s="55" customFormat="1" ht="17.100000000000001" hidden="1" customHeight="1">
      <c r="A486" s="50" t="e">
        <f t="shared" si="17"/>
        <v>#REF!</v>
      </c>
      <c r="B486" s="51"/>
      <c r="C486" s="51" t="s">
        <v>423</v>
      </c>
      <c r="D486" s="52" t="s">
        <v>3</v>
      </c>
      <c r="E486" s="112">
        <f>3.12</f>
        <v>3.12</v>
      </c>
      <c r="F486" s="53" t="e">
        <f>'NC,M KS'!P4</f>
        <v>#REF!</v>
      </c>
      <c r="G486" s="117">
        <f>hsnc</f>
        <v>1</v>
      </c>
      <c r="H486" s="54" t="e">
        <f>ROUND(E486*F486*G486,5)</f>
        <v>#REF!</v>
      </c>
      <c r="I486" s="114"/>
      <c r="J486" s="110">
        <f>J479</f>
        <v>0</v>
      </c>
    </row>
    <row r="487" spans="1:10" s="55" customFormat="1" ht="17.100000000000001" hidden="1" customHeight="1">
      <c r="A487" s="50" t="e">
        <f t="shared" si="17"/>
        <v>#REF!</v>
      </c>
      <c r="B487" s="51"/>
      <c r="C487" s="51" t="s">
        <v>424</v>
      </c>
      <c r="D487" s="52" t="s">
        <v>3</v>
      </c>
      <c r="E487" s="112">
        <f>8.49</f>
        <v>8.49</v>
      </c>
      <c r="F487" s="53" t="e">
        <f>'NC,M KS'!P6</f>
        <v>#REF!</v>
      </c>
      <c r="G487" s="117">
        <f>hsnc</f>
        <v>1</v>
      </c>
      <c r="H487" s="54" t="e">
        <f>ROUND(E487*F487*G487,5)</f>
        <v>#REF!</v>
      </c>
      <c r="I487" s="114"/>
      <c r="J487" s="110">
        <f>J479</f>
        <v>0</v>
      </c>
    </row>
    <row r="488" spans="1:10" s="55" customFormat="1" ht="17.100000000000001" hidden="1" customHeight="1">
      <c r="A488" s="50" t="e">
        <f t="shared" si="17"/>
        <v>#REF!</v>
      </c>
      <c r="B488" s="51"/>
      <c r="C488" s="51" t="s">
        <v>124</v>
      </c>
      <c r="D488" s="52" t="s">
        <v>0</v>
      </c>
      <c r="E488" s="112"/>
      <c r="F488" s="53"/>
      <c r="G488" s="117"/>
      <c r="H488" s="56">
        <f>ROUND(SUM(H489:H491),5)</f>
        <v>175357.02799999999</v>
      </c>
      <c r="I488" s="115"/>
      <c r="J488" s="110">
        <f>J479</f>
        <v>0</v>
      </c>
    </row>
    <row r="489" spans="1:10" s="55" customFormat="1" ht="17.100000000000001" hidden="1" customHeight="1">
      <c r="A489" s="50" t="e">
        <f t="shared" si="17"/>
        <v>#REF!</v>
      </c>
      <c r="B489" s="51"/>
      <c r="C489" s="51" t="s">
        <v>436</v>
      </c>
      <c r="D489" s="52" t="s">
        <v>4</v>
      </c>
      <c r="E489" s="112">
        <f>1.08</f>
        <v>1.08</v>
      </c>
      <c r="F489" s="53">
        <f>'NC,M KS'!P28</f>
        <v>147060</v>
      </c>
      <c r="G489" s="117">
        <f>hsm</f>
        <v>1</v>
      </c>
      <c r="H489" s="54">
        <f>ROUND(E489*F489*G489,5)</f>
        <v>158824.79999999999</v>
      </c>
      <c r="I489" s="114"/>
      <c r="J489" s="110">
        <f>J479</f>
        <v>0</v>
      </c>
    </row>
    <row r="490" spans="1:10" s="55" customFormat="1" ht="17.100000000000001" hidden="1" customHeight="1">
      <c r="A490" s="50" t="e">
        <f t="shared" si="17"/>
        <v>#REF!</v>
      </c>
      <c r="B490" s="51"/>
      <c r="C490" s="51" t="s">
        <v>425</v>
      </c>
      <c r="D490" s="52" t="s">
        <v>4</v>
      </c>
      <c r="E490" s="112">
        <f>0.04</f>
        <v>0.04</v>
      </c>
      <c r="F490" s="53">
        <f>'NC,M KS'!P27</f>
        <v>14767</v>
      </c>
      <c r="G490" s="117">
        <f>hsm</f>
        <v>1</v>
      </c>
      <c r="H490" s="54">
        <f>ROUND(E490*F490*G490,5)</f>
        <v>590.67999999999995</v>
      </c>
      <c r="I490" s="114"/>
      <c r="J490" s="110">
        <f>J479</f>
        <v>0</v>
      </c>
    </row>
    <row r="491" spans="1:10" s="55" customFormat="1" ht="17.100000000000001" hidden="1" customHeight="1">
      <c r="A491" s="50" t="e">
        <f t="shared" si="17"/>
        <v>#REF!</v>
      </c>
      <c r="B491" s="51"/>
      <c r="C491" s="51" t="s">
        <v>130</v>
      </c>
      <c r="D491" s="52" t="s">
        <v>126</v>
      </c>
      <c r="E491" s="112">
        <f>10</f>
        <v>10</v>
      </c>
      <c r="F491" s="53"/>
      <c r="G491" s="117"/>
      <c r="H491" s="54">
        <f>ROUND(SUM(H489:H490)*E491/100,5)</f>
        <v>15941.548000000001</v>
      </c>
      <c r="I491" s="114"/>
      <c r="J491" s="110">
        <f>J479</f>
        <v>0</v>
      </c>
    </row>
    <row r="492" spans="1:10" s="55" customFormat="1" ht="17.100000000000001" hidden="1" customHeight="1">
      <c r="A492" s="50" t="e">
        <f t="shared" si="17"/>
        <v>#REF!</v>
      </c>
      <c r="B492" s="51"/>
      <c r="C492" s="170" t="s">
        <v>556</v>
      </c>
      <c r="D492" s="171" t="s">
        <v>136</v>
      </c>
      <c r="E492" s="172" t="s">
        <v>205</v>
      </c>
      <c r="F492" s="53"/>
      <c r="G492" s="117"/>
      <c r="H492" s="173" t="e">
        <f>ROUND(H481+H485+H488,5)</f>
        <v>#REF!</v>
      </c>
      <c r="I492" s="114"/>
      <c r="J492" s="110">
        <f>J479</f>
        <v>0</v>
      </c>
    </row>
    <row r="493" spans="1:10" s="55" customFormat="1" ht="17.100000000000001" hidden="1" customHeight="1">
      <c r="A493" s="50" t="e">
        <f t="shared" si="17"/>
        <v>#REF!</v>
      </c>
      <c r="B493" s="51"/>
      <c r="C493" s="170" t="s">
        <v>557</v>
      </c>
      <c r="D493" s="171" t="s">
        <v>204</v>
      </c>
      <c r="E493" s="172" t="s">
        <v>558</v>
      </c>
      <c r="F493" s="53"/>
      <c r="G493" s="117"/>
      <c r="H493" s="173" t="e">
        <f>SUM(H494:H495)</f>
        <v>#REF!</v>
      </c>
      <c r="I493" s="114"/>
      <c r="J493" s="110">
        <f>J479</f>
        <v>0</v>
      </c>
    </row>
    <row r="494" spans="1:10" s="55" customFormat="1" ht="17.100000000000001" hidden="1" customHeight="1">
      <c r="A494" s="50" t="e">
        <f t="shared" si="17"/>
        <v>#REF!</v>
      </c>
      <c r="B494" s="51"/>
      <c r="C494" s="51" t="s">
        <v>426</v>
      </c>
      <c r="D494" s="52" t="s">
        <v>559</v>
      </c>
      <c r="E494" s="116">
        <f>cpc</f>
        <v>0.7</v>
      </c>
      <c r="F494" s="174"/>
      <c r="G494" s="175"/>
      <c r="H494" s="54" t="e">
        <f>E494*H485</f>
        <v>#REF!</v>
      </c>
      <c r="I494" s="114"/>
      <c r="J494" s="110">
        <f>J479</f>
        <v>0</v>
      </c>
    </row>
    <row r="495" spans="1:10" s="55" customFormat="1" ht="17.100000000000001" hidden="1" customHeight="1">
      <c r="A495" s="50" t="e">
        <f t="shared" si="17"/>
        <v>#REF!</v>
      </c>
      <c r="B495" s="51"/>
      <c r="C495" s="78" t="s">
        <v>560</v>
      </c>
      <c r="D495" s="79" t="s">
        <v>561</v>
      </c>
      <c r="E495" s="176">
        <f>hmc</f>
        <v>0.05</v>
      </c>
      <c r="F495" s="53"/>
      <c r="G495" s="113"/>
      <c r="H495" s="54" t="e">
        <f>E495*H492</f>
        <v>#REF!</v>
      </c>
      <c r="I495" s="114"/>
      <c r="J495" s="110">
        <f>J479</f>
        <v>0</v>
      </c>
    </row>
    <row r="496" spans="1:10" s="55" customFormat="1" ht="17.100000000000001" hidden="1" customHeight="1">
      <c r="A496" s="50" t="e">
        <f t="shared" si="17"/>
        <v>#REF!</v>
      </c>
      <c r="B496" s="51"/>
      <c r="C496" s="170" t="s">
        <v>562</v>
      </c>
      <c r="D496" s="171" t="s">
        <v>563</v>
      </c>
      <c r="E496" s="179">
        <f>tn</f>
        <v>0.06</v>
      </c>
      <c r="F496" s="177"/>
      <c r="G496" s="178"/>
      <c r="H496" s="181" t="e">
        <f>SUM(H492:H493)*E496</f>
        <v>#REF!</v>
      </c>
      <c r="I496" s="114"/>
      <c r="J496" s="110">
        <f>J479</f>
        <v>0</v>
      </c>
    </row>
    <row r="497" spans="1:10" s="55" customFormat="1" ht="17.100000000000001" hidden="1" customHeight="1">
      <c r="A497" s="50" t="e">
        <f t="shared" si="17"/>
        <v>#REF!</v>
      </c>
      <c r="B497" s="51"/>
      <c r="C497" s="92" t="s">
        <v>1879</v>
      </c>
      <c r="D497" s="171" t="s">
        <v>227</v>
      </c>
      <c r="E497" s="180" t="s">
        <v>564</v>
      </c>
      <c r="F497" s="174"/>
      <c r="G497" s="175"/>
      <c r="H497" s="173" t="e">
        <f>SUM(H498:H499)</f>
        <v>#REF!</v>
      </c>
      <c r="I497" s="114"/>
      <c r="J497" s="110">
        <f>J479</f>
        <v>0</v>
      </c>
    </row>
    <row r="498" spans="1:10" s="55" customFormat="1" ht="17.100000000000001" hidden="1" customHeight="1">
      <c r="A498" s="50" t="e">
        <f t="shared" si="17"/>
        <v>#REF!</v>
      </c>
      <c r="B498" s="51"/>
      <c r="C498" s="51" t="s">
        <v>427</v>
      </c>
      <c r="D498" s="52" t="s">
        <v>428</v>
      </c>
      <c r="E498" s="1093">
        <f>paks</f>
        <v>0</v>
      </c>
      <c r="F498" s="174"/>
      <c r="G498" s="175"/>
      <c r="H498" s="54" t="e">
        <f>(H492+H493+H496)*E498</f>
        <v>#REF!</v>
      </c>
      <c r="I498" s="114"/>
      <c r="J498" s="110">
        <f>J479</f>
        <v>0</v>
      </c>
    </row>
    <row r="499" spans="1:10" s="55" customFormat="1" ht="17.100000000000001" hidden="1" customHeight="1">
      <c r="A499" s="50" t="e">
        <f t="shared" si="17"/>
        <v>#REF!</v>
      </c>
      <c r="B499" s="51"/>
      <c r="C499" s="51" t="s">
        <v>429</v>
      </c>
      <c r="D499" s="52" t="s">
        <v>430</v>
      </c>
      <c r="E499" s="1093">
        <f>bcks</f>
        <v>0.03</v>
      </c>
      <c r="F499" s="53"/>
      <c r="G499" s="113"/>
      <c r="H499" s="54" t="e">
        <f>(H492+H493+H496)*E499</f>
        <v>#REF!</v>
      </c>
      <c r="I499" s="114"/>
      <c r="J499" s="110">
        <f>J479</f>
        <v>0</v>
      </c>
    </row>
    <row r="500" spans="1:10" s="55" customFormat="1" ht="17.100000000000001" hidden="1" customHeight="1">
      <c r="A500" s="50" t="e">
        <f t="shared" si="17"/>
        <v>#REF!</v>
      </c>
      <c r="B500" s="51"/>
      <c r="C500" s="170" t="s">
        <v>565</v>
      </c>
      <c r="D500" s="171" t="s">
        <v>218</v>
      </c>
      <c r="E500" s="172" t="s">
        <v>566</v>
      </c>
      <c r="F500" s="53"/>
      <c r="G500" s="113"/>
      <c r="H500" s="173" t="e">
        <f>H492+H493+H496+H497</f>
        <v>#REF!</v>
      </c>
      <c r="I500" s="114"/>
      <c r="J500" s="715">
        <f>J479</f>
        <v>0</v>
      </c>
    </row>
    <row r="501" spans="1:10" s="55" customFormat="1" ht="17.100000000000001" hidden="1" customHeight="1">
      <c r="A501" s="50" t="e">
        <f t="shared" si="17"/>
        <v>#REF!</v>
      </c>
      <c r="B501" s="51"/>
      <c r="C501" s="51" t="s">
        <v>567</v>
      </c>
      <c r="D501" s="52" t="s">
        <v>222</v>
      </c>
      <c r="E501" s="112" t="s">
        <v>1917</v>
      </c>
      <c r="F501" s="174"/>
      <c r="G501" s="175"/>
      <c r="H501" s="54" t="e">
        <f>ROUND(H500*10/100,5)</f>
        <v>#REF!</v>
      </c>
      <c r="I501" s="114"/>
      <c r="J501" s="715">
        <f>J479</f>
        <v>0</v>
      </c>
    </row>
    <row r="502" spans="1:10" s="55" customFormat="1" ht="17.100000000000001" hidden="1" customHeight="1">
      <c r="A502" s="50" t="e">
        <f t="shared" si="17"/>
        <v>#REF!</v>
      </c>
      <c r="B502" s="51"/>
      <c r="C502" s="170" t="s">
        <v>568</v>
      </c>
      <c r="D502" s="171" t="s">
        <v>225</v>
      </c>
      <c r="E502" s="172" t="s">
        <v>192</v>
      </c>
      <c r="F502" s="53"/>
      <c r="G502" s="117"/>
      <c r="H502" s="56" t="e">
        <f>ROUND(H500+H501,5)</f>
        <v>#REF!</v>
      </c>
      <c r="I502" s="115"/>
      <c r="J502" s="715">
        <f>J479</f>
        <v>0</v>
      </c>
    </row>
    <row r="503" spans="1:10" s="263" customFormat="1" ht="17.100000000000001" hidden="1" customHeight="1">
      <c r="A503" s="264" t="e">
        <f t="shared" si="17"/>
        <v>#REF!</v>
      </c>
      <c r="B503" s="265" t="s">
        <v>369</v>
      </c>
      <c r="C503" s="265" t="s">
        <v>367</v>
      </c>
      <c r="D503" s="266" t="s">
        <v>308</v>
      </c>
      <c r="E503" s="270"/>
      <c r="F503" s="267"/>
      <c r="G503" s="271"/>
      <c r="H503" s="268" t="e">
        <f>H526</f>
        <v>#REF!</v>
      </c>
      <c r="I503" s="272"/>
      <c r="J503" s="273">
        <f>IF(SUMIF(Khaosat!$B$6:$B$47,'PT giaKS'!B503,Khaosat!$I$6:$I$47)&lt;&gt;0,$J$6,0)</f>
        <v>0</v>
      </c>
    </row>
    <row r="504" spans="1:10" s="55" customFormat="1" ht="17.100000000000001" hidden="1" customHeight="1">
      <c r="A504" s="50" t="e">
        <f t="shared" si="17"/>
        <v>#REF!</v>
      </c>
      <c r="B504" s="51"/>
      <c r="C504" s="51" t="s">
        <v>365</v>
      </c>
      <c r="D504" s="52" t="s">
        <v>0</v>
      </c>
      <c r="E504" s="112"/>
      <c r="F504" s="53"/>
      <c r="G504" s="117"/>
      <c r="H504" s="54"/>
      <c r="I504" s="114"/>
      <c r="J504" s="110">
        <f>J503</f>
        <v>0</v>
      </c>
    </row>
    <row r="505" spans="1:10" s="55" customFormat="1" ht="17.100000000000001" hidden="1" customHeight="1">
      <c r="A505" s="50" t="e">
        <f t="shared" si="17"/>
        <v>#REF!</v>
      </c>
      <c r="B505" s="51"/>
      <c r="C505" s="51" t="s">
        <v>128</v>
      </c>
      <c r="D505" s="52" t="s">
        <v>0</v>
      </c>
      <c r="E505" s="112"/>
      <c r="F505" s="53"/>
      <c r="G505" s="117"/>
      <c r="H505" s="56">
        <f>ROUND(SUM(H506:H508),5)</f>
        <v>29040</v>
      </c>
      <c r="I505" s="115"/>
      <c r="J505" s="110">
        <f>J503</f>
        <v>0</v>
      </c>
    </row>
    <row r="506" spans="1:10" s="55" customFormat="1" ht="17.100000000000001" hidden="1" customHeight="1">
      <c r="A506" s="50" t="e">
        <f t="shared" si="17"/>
        <v>#REF!</v>
      </c>
      <c r="B506" s="51"/>
      <c r="C506" s="51" t="s">
        <v>438</v>
      </c>
      <c r="D506" s="52" t="s">
        <v>439</v>
      </c>
      <c r="E506" s="112">
        <f>4</f>
        <v>4</v>
      </c>
      <c r="F506" s="53">
        <f>VLKS!Q22</f>
        <v>5000</v>
      </c>
      <c r="G506" s="117">
        <f>hsvl</f>
        <v>1</v>
      </c>
      <c r="H506" s="54">
        <f>ROUND(E506*F506*G506,5)</f>
        <v>20000</v>
      </c>
      <c r="I506" s="114"/>
      <c r="J506" s="110">
        <f>J503</f>
        <v>0</v>
      </c>
    </row>
    <row r="507" spans="1:10" s="55" customFormat="1" ht="17.100000000000001" hidden="1" customHeight="1">
      <c r="A507" s="50" t="e">
        <f t="shared" si="17"/>
        <v>#REF!</v>
      </c>
      <c r="B507" s="51"/>
      <c r="C507" s="51" t="s">
        <v>421</v>
      </c>
      <c r="D507" s="52" t="s">
        <v>422</v>
      </c>
      <c r="E507" s="112">
        <f>0.8</f>
        <v>0.8</v>
      </c>
      <c r="F507" s="53">
        <f>VLKS!Q51</f>
        <v>8000</v>
      </c>
      <c r="G507" s="117">
        <f>hsvl</f>
        <v>1</v>
      </c>
      <c r="H507" s="54">
        <f>ROUND(E507*F507*G507,5)</f>
        <v>6400</v>
      </c>
      <c r="I507" s="114"/>
      <c r="J507" s="110">
        <f>J503</f>
        <v>0</v>
      </c>
    </row>
    <row r="508" spans="1:10" s="55" customFormat="1" ht="17.100000000000001" hidden="1" customHeight="1">
      <c r="A508" s="50" t="e">
        <f t="shared" si="17"/>
        <v>#REF!</v>
      </c>
      <c r="B508" s="51"/>
      <c r="C508" s="51" t="s">
        <v>127</v>
      </c>
      <c r="D508" s="52" t="s">
        <v>126</v>
      </c>
      <c r="E508" s="112">
        <f>10</f>
        <v>10</v>
      </c>
      <c r="F508" s="53"/>
      <c r="G508" s="117"/>
      <c r="H508" s="54">
        <f>ROUND(SUM(H506:H507)*E508/100,5)</f>
        <v>2640</v>
      </c>
      <c r="I508" s="114"/>
      <c r="J508" s="110">
        <f>J503</f>
        <v>0</v>
      </c>
    </row>
    <row r="509" spans="1:10" s="55" customFormat="1" ht="17.100000000000001" hidden="1" customHeight="1">
      <c r="A509" s="50" t="e">
        <f t="shared" si="17"/>
        <v>#REF!</v>
      </c>
      <c r="B509" s="51"/>
      <c r="C509" s="51" t="s">
        <v>125</v>
      </c>
      <c r="D509" s="52" t="s">
        <v>0</v>
      </c>
      <c r="E509" s="112"/>
      <c r="F509" s="53"/>
      <c r="G509" s="117"/>
      <c r="H509" s="56" t="e">
        <f>ROUND(SUM(H510:H511),5)</f>
        <v>#REF!</v>
      </c>
      <c r="I509" s="115"/>
      <c r="J509" s="110">
        <f>J503</f>
        <v>0</v>
      </c>
    </row>
    <row r="510" spans="1:10" s="55" customFormat="1" ht="17.100000000000001" hidden="1" customHeight="1">
      <c r="A510" s="50" t="e">
        <f t="shared" si="17"/>
        <v>#REF!</v>
      </c>
      <c r="B510" s="51"/>
      <c r="C510" s="51" t="s">
        <v>423</v>
      </c>
      <c r="D510" s="52" t="s">
        <v>3</v>
      </c>
      <c r="E510" s="112">
        <f>4.37</f>
        <v>4.37</v>
      </c>
      <c r="F510" s="53" t="e">
        <f>'NC,M KS'!P4</f>
        <v>#REF!</v>
      </c>
      <c r="G510" s="117">
        <f>hsnc</f>
        <v>1</v>
      </c>
      <c r="H510" s="54" t="e">
        <f>ROUND(E510*F510*G510,5)</f>
        <v>#REF!</v>
      </c>
      <c r="I510" s="114"/>
      <c r="J510" s="110">
        <f>J503</f>
        <v>0</v>
      </c>
    </row>
    <row r="511" spans="1:10" s="55" customFormat="1" ht="17.100000000000001" hidden="1" customHeight="1">
      <c r="A511" s="50" t="e">
        <f t="shared" si="17"/>
        <v>#REF!</v>
      </c>
      <c r="B511" s="51"/>
      <c r="C511" s="51" t="s">
        <v>424</v>
      </c>
      <c r="D511" s="52" t="s">
        <v>3</v>
      </c>
      <c r="E511" s="112">
        <f>12</f>
        <v>12</v>
      </c>
      <c r="F511" s="53" t="e">
        <f>'NC,M KS'!P6</f>
        <v>#REF!</v>
      </c>
      <c r="G511" s="117">
        <f>hsnc</f>
        <v>1</v>
      </c>
      <c r="H511" s="54" t="e">
        <f>ROUND(E511*F511*G511,5)</f>
        <v>#REF!</v>
      </c>
      <c r="I511" s="114"/>
      <c r="J511" s="110">
        <f>J503</f>
        <v>0</v>
      </c>
    </row>
    <row r="512" spans="1:10" s="55" customFormat="1" ht="17.100000000000001" hidden="1" customHeight="1">
      <c r="A512" s="50" t="e">
        <f t="shared" si="17"/>
        <v>#REF!</v>
      </c>
      <c r="B512" s="51"/>
      <c r="C512" s="51" t="s">
        <v>124</v>
      </c>
      <c r="D512" s="52" t="s">
        <v>0</v>
      </c>
      <c r="E512" s="112"/>
      <c r="F512" s="53"/>
      <c r="G512" s="117"/>
      <c r="H512" s="56">
        <f>ROUND(SUM(H513:H515),5)</f>
        <v>259637.785</v>
      </c>
      <c r="I512" s="115"/>
      <c r="J512" s="110">
        <f>J503</f>
        <v>0</v>
      </c>
    </row>
    <row r="513" spans="1:10" s="55" customFormat="1" ht="17.100000000000001" hidden="1" customHeight="1">
      <c r="A513" s="50" t="e">
        <f t="shared" si="17"/>
        <v>#REF!</v>
      </c>
      <c r="B513" s="51"/>
      <c r="C513" s="51" t="s">
        <v>436</v>
      </c>
      <c r="D513" s="52" t="s">
        <v>4</v>
      </c>
      <c r="E513" s="112">
        <f>1.6</f>
        <v>1.6</v>
      </c>
      <c r="F513" s="53">
        <f>'NC,M KS'!P28</f>
        <v>147060</v>
      </c>
      <c r="G513" s="117">
        <f>hsm</f>
        <v>1</v>
      </c>
      <c r="H513" s="54">
        <f>ROUND(E513*F513*G513,5)</f>
        <v>235296</v>
      </c>
      <c r="I513" s="114"/>
      <c r="J513" s="110">
        <f>J503</f>
        <v>0</v>
      </c>
    </row>
    <row r="514" spans="1:10" s="55" customFormat="1" ht="17.100000000000001" hidden="1" customHeight="1">
      <c r="A514" s="50" t="e">
        <f t="shared" si="17"/>
        <v>#REF!</v>
      </c>
      <c r="B514" s="51"/>
      <c r="C514" s="51" t="s">
        <v>425</v>
      </c>
      <c r="D514" s="52" t="s">
        <v>4</v>
      </c>
      <c r="E514" s="112">
        <f>0.05</f>
        <v>0.05</v>
      </c>
      <c r="F514" s="53">
        <f>'NC,M KS'!P27</f>
        <v>14767</v>
      </c>
      <c r="G514" s="117">
        <f>hsm</f>
        <v>1</v>
      </c>
      <c r="H514" s="54">
        <f>ROUND(E514*F514*G514,5)</f>
        <v>738.35</v>
      </c>
      <c r="I514" s="114"/>
      <c r="J514" s="110">
        <f>J503</f>
        <v>0</v>
      </c>
    </row>
    <row r="515" spans="1:10" s="55" customFormat="1" ht="17.100000000000001" hidden="1" customHeight="1">
      <c r="A515" s="50" t="e">
        <f t="shared" si="17"/>
        <v>#REF!</v>
      </c>
      <c r="B515" s="51"/>
      <c r="C515" s="51" t="s">
        <v>130</v>
      </c>
      <c r="D515" s="52" t="s">
        <v>126</v>
      </c>
      <c r="E515" s="112">
        <f>10</f>
        <v>10</v>
      </c>
      <c r="F515" s="53"/>
      <c r="G515" s="117"/>
      <c r="H515" s="54">
        <f>ROUND(SUM(H513:H514)*E515/100,5)</f>
        <v>23603.435000000001</v>
      </c>
      <c r="I515" s="114"/>
      <c r="J515" s="110">
        <f>J503</f>
        <v>0</v>
      </c>
    </row>
    <row r="516" spans="1:10" s="55" customFormat="1" ht="17.100000000000001" hidden="1" customHeight="1">
      <c r="A516" s="50" t="e">
        <f t="shared" si="17"/>
        <v>#REF!</v>
      </c>
      <c r="B516" s="51"/>
      <c r="C516" s="170" t="s">
        <v>556</v>
      </c>
      <c r="D516" s="171" t="s">
        <v>136</v>
      </c>
      <c r="E516" s="172" t="s">
        <v>205</v>
      </c>
      <c r="F516" s="53"/>
      <c r="G516" s="117"/>
      <c r="H516" s="173" t="e">
        <f>ROUND(H505+H509+H512,5)</f>
        <v>#REF!</v>
      </c>
      <c r="I516" s="114"/>
      <c r="J516" s="110">
        <f>J503</f>
        <v>0</v>
      </c>
    </row>
    <row r="517" spans="1:10" s="55" customFormat="1" ht="17.100000000000001" hidden="1" customHeight="1">
      <c r="A517" s="50" t="e">
        <f t="shared" si="17"/>
        <v>#REF!</v>
      </c>
      <c r="B517" s="51"/>
      <c r="C517" s="170" t="s">
        <v>557</v>
      </c>
      <c r="D517" s="171" t="s">
        <v>204</v>
      </c>
      <c r="E517" s="172" t="s">
        <v>558</v>
      </c>
      <c r="F517" s="53"/>
      <c r="G517" s="117"/>
      <c r="H517" s="173" t="e">
        <f>SUM(H518:H519)</f>
        <v>#REF!</v>
      </c>
      <c r="I517" s="114"/>
      <c r="J517" s="110">
        <f>J503</f>
        <v>0</v>
      </c>
    </row>
    <row r="518" spans="1:10" s="55" customFormat="1" ht="17.100000000000001" hidden="1" customHeight="1">
      <c r="A518" s="50" t="e">
        <f t="shared" si="17"/>
        <v>#REF!</v>
      </c>
      <c r="B518" s="51"/>
      <c r="C518" s="51" t="s">
        <v>426</v>
      </c>
      <c r="D518" s="52" t="s">
        <v>559</v>
      </c>
      <c r="E518" s="116">
        <f>cpc</f>
        <v>0.7</v>
      </c>
      <c r="F518" s="174"/>
      <c r="G518" s="175"/>
      <c r="H518" s="54" t="e">
        <f>E518*H509</f>
        <v>#REF!</v>
      </c>
      <c r="I518" s="114"/>
      <c r="J518" s="110">
        <f>J503</f>
        <v>0</v>
      </c>
    </row>
    <row r="519" spans="1:10" s="55" customFormat="1" ht="17.100000000000001" hidden="1" customHeight="1">
      <c r="A519" s="50" t="e">
        <f t="shared" si="17"/>
        <v>#REF!</v>
      </c>
      <c r="B519" s="51"/>
      <c r="C519" s="78" t="s">
        <v>560</v>
      </c>
      <c r="D519" s="79" t="s">
        <v>561</v>
      </c>
      <c r="E519" s="176">
        <f>hmc</f>
        <v>0.05</v>
      </c>
      <c r="F519" s="53"/>
      <c r="G519" s="113"/>
      <c r="H519" s="54" t="e">
        <f>E519*H516</f>
        <v>#REF!</v>
      </c>
      <c r="I519" s="114"/>
      <c r="J519" s="110">
        <f>J503</f>
        <v>0</v>
      </c>
    </row>
    <row r="520" spans="1:10" s="55" customFormat="1" ht="17.100000000000001" hidden="1" customHeight="1">
      <c r="A520" s="50" t="e">
        <f t="shared" si="17"/>
        <v>#REF!</v>
      </c>
      <c r="B520" s="51"/>
      <c r="C520" s="170" t="s">
        <v>562</v>
      </c>
      <c r="D520" s="171" t="s">
        <v>563</v>
      </c>
      <c r="E520" s="179">
        <f>tn</f>
        <v>0.06</v>
      </c>
      <c r="F520" s="177"/>
      <c r="G520" s="178"/>
      <c r="H520" s="181" t="e">
        <f>SUM(H516:H517)*E520</f>
        <v>#REF!</v>
      </c>
      <c r="I520" s="114"/>
      <c r="J520" s="110">
        <f>J503</f>
        <v>0</v>
      </c>
    </row>
    <row r="521" spans="1:10" s="55" customFormat="1" ht="17.100000000000001" hidden="1" customHeight="1">
      <c r="A521" s="50" t="e">
        <f t="shared" ref="A521:A609" si="18">IF(B521&lt;&gt;0,A520+J521,A520)</f>
        <v>#REF!</v>
      </c>
      <c r="B521" s="51"/>
      <c r="C521" s="92" t="s">
        <v>1879</v>
      </c>
      <c r="D521" s="171" t="s">
        <v>227</v>
      </c>
      <c r="E521" s="180" t="s">
        <v>564</v>
      </c>
      <c r="F521" s="174"/>
      <c r="G521" s="175"/>
      <c r="H521" s="173" t="e">
        <f>SUM(H522:H523)</f>
        <v>#REF!</v>
      </c>
      <c r="I521" s="114"/>
      <c r="J521" s="110">
        <f>J503</f>
        <v>0</v>
      </c>
    </row>
    <row r="522" spans="1:10" s="55" customFormat="1" ht="17.100000000000001" hidden="1" customHeight="1">
      <c r="A522" s="50" t="e">
        <f t="shared" si="18"/>
        <v>#REF!</v>
      </c>
      <c r="B522" s="51"/>
      <c r="C522" s="51" t="s">
        <v>427</v>
      </c>
      <c r="D522" s="52" t="s">
        <v>428</v>
      </c>
      <c r="E522" s="1093">
        <f>paks</f>
        <v>0</v>
      </c>
      <c r="F522" s="174"/>
      <c r="G522" s="175"/>
      <c r="H522" s="54" t="e">
        <f>(H516+H517+H520)*E522</f>
        <v>#REF!</v>
      </c>
      <c r="I522" s="114"/>
      <c r="J522" s="110">
        <f>J503</f>
        <v>0</v>
      </c>
    </row>
    <row r="523" spans="1:10" s="55" customFormat="1" ht="17.100000000000001" hidden="1" customHeight="1">
      <c r="A523" s="50" t="e">
        <f t="shared" si="18"/>
        <v>#REF!</v>
      </c>
      <c r="B523" s="51"/>
      <c r="C523" s="51" t="s">
        <v>429</v>
      </c>
      <c r="D523" s="52" t="s">
        <v>430</v>
      </c>
      <c r="E523" s="1093">
        <f>bcks</f>
        <v>0.03</v>
      </c>
      <c r="F523" s="53"/>
      <c r="G523" s="113"/>
      <c r="H523" s="54" t="e">
        <f>(H516+H517+H520)*E523</f>
        <v>#REF!</v>
      </c>
      <c r="I523" s="114"/>
      <c r="J523" s="110">
        <f>J503</f>
        <v>0</v>
      </c>
    </row>
    <row r="524" spans="1:10" s="55" customFormat="1" ht="17.100000000000001" hidden="1" customHeight="1">
      <c r="A524" s="50" t="e">
        <f t="shared" si="18"/>
        <v>#REF!</v>
      </c>
      <c r="B524" s="51"/>
      <c r="C524" s="170" t="s">
        <v>565</v>
      </c>
      <c r="D524" s="171" t="s">
        <v>218</v>
      </c>
      <c r="E524" s="172" t="s">
        <v>566</v>
      </c>
      <c r="F524" s="53"/>
      <c r="G524" s="113"/>
      <c r="H524" s="173" t="e">
        <f>H516+H517+H520+H521</f>
        <v>#REF!</v>
      </c>
      <c r="I524" s="114"/>
      <c r="J524" s="715">
        <f>J503</f>
        <v>0</v>
      </c>
    </row>
    <row r="525" spans="1:10" s="55" customFormat="1" ht="17.100000000000001" hidden="1" customHeight="1">
      <c r="A525" s="50" t="e">
        <f t="shared" si="18"/>
        <v>#REF!</v>
      </c>
      <c r="B525" s="51"/>
      <c r="C525" s="51" t="s">
        <v>567</v>
      </c>
      <c r="D525" s="52" t="s">
        <v>222</v>
      </c>
      <c r="E525" s="112" t="s">
        <v>1917</v>
      </c>
      <c r="F525" s="174"/>
      <c r="G525" s="175"/>
      <c r="H525" s="54" t="e">
        <f>ROUND(H524*10/100,5)</f>
        <v>#REF!</v>
      </c>
      <c r="I525" s="114"/>
      <c r="J525" s="715">
        <f>J503</f>
        <v>0</v>
      </c>
    </row>
    <row r="526" spans="1:10" s="55" customFormat="1" ht="17.100000000000001" hidden="1" customHeight="1">
      <c r="A526" s="50" t="e">
        <f t="shared" si="18"/>
        <v>#REF!</v>
      </c>
      <c r="B526" s="51"/>
      <c r="C526" s="170" t="s">
        <v>568</v>
      </c>
      <c r="D526" s="171" t="s">
        <v>225</v>
      </c>
      <c r="E526" s="172" t="s">
        <v>192</v>
      </c>
      <c r="F526" s="53"/>
      <c r="G526" s="117"/>
      <c r="H526" s="56" t="e">
        <f>ROUND(H524+H525,5)</f>
        <v>#REF!</v>
      </c>
      <c r="I526" s="115"/>
      <c r="J526" s="715">
        <f>J503</f>
        <v>0</v>
      </c>
    </row>
    <row r="527" spans="1:10" s="263" customFormat="1" ht="17.100000000000001" hidden="1" customHeight="1">
      <c r="A527" s="264" t="e">
        <f t="shared" si="18"/>
        <v>#REF!</v>
      </c>
      <c r="B527" s="265" t="s">
        <v>309</v>
      </c>
      <c r="C527" s="265" t="s">
        <v>554</v>
      </c>
      <c r="D527" s="266" t="s">
        <v>1769</v>
      </c>
      <c r="E527" s="270"/>
      <c r="F527" s="267"/>
      <c r="G527" s="271"/>
      <c r="H527" s="268" t="e">
        <f>H551</f>
        <v>#REF!</v>
      </c>
      <c r="I527" s="272"/>
      <c r="J527" s="273">
        <f>IF(SUMIF(Khaosat!$B$6:$B$47,'PT giaKS'!B527,Khaosat!$I$6:$I$47)&lt;&gt;0,$J$6,0)</f>
        <v>0</v>
      </c>
    </row>
    <row r="528" spans="1:10" s="55" customFormat="1" ht="17.100000000000001" hidden="1" customHeight="1">
      <c r="A528" s="295" t="e">
        <f t="shared" si="18"/>
        <v>#REF!</v>
      </c>
      <c r="B528" s="51"/>
      <c r="C528" s="51" t="s">
        <v>128</v>
      </c>
      <c r="D528" s="52" t="s">
        <v>0</v>
      </c>
      <c r="E528" s="112"/>
      <c r="F528" s="53"/>
      <c r="G528" s="117"/>
      <c r="H528" s="56">
        <f>ROUND(SUM(H529:H533),5)</f>
        <v>29425</v>
      </c>
      <c r="I528" s="115"/>
      <c r="J528" s="110">
        <f>J527</f>
        <v>0</v>
      </c>
    </row>
    <row r="529" spans="1:10" s="55" customFormat="1" ht="17.100000000000001" hidden="1" customHeight="1">
      <c r="A529" s="295" t="e">
        <f t="shared" si="18"/>
        <v>#REF!</v>
      </c>
      <c r="B529" s="51"/>
      <c r="C529" s="51" t="s">
        <v>441</v>
      </c>
      <c r="D529" s="52" t="s">
        <v>82</v>
      </c>
      <c r="E529" s="112">
        <f>0.003*100</f>
        <v>0.3</v>
      </c>
      <c r="F529" s="53">
        <f>VLKS!Q41</f>
        <v>16000</v>
      </c>
      <c r="G529" s="117">
        <f>hsvl</f>
        <v>1</v>
      </c>
      <c r="H529" s="54">
        <f>ROUND(E529*F529*G529,5)</f>
        <v>4800</v>
      </c>
      <c r="I529" s="114"/>
      <c r="J529" s="110">
        <f>J527</f>
        <v>0</v>
      </c>
    </row>
    <row r="530" spans="1:10" s="55" customFormat="1" ht="17.100000000000001" hidden="1" customHeight="1">
      <c r="A530" s="295" t="e">
        <f t="shared" si="18"/>
        <v>#REF!</v>
      </c>
      <c r="B530" s="51"/>
      <c r="C530" s="51" t="s">
        <v>431</v>
      </c>
      <c r="D530" s="52" t="s">
        <v>26</v>
      </c>
      <c r="E530" s="112">
        <f>0.015*100</f>
        <v>1.5</v>
      </c>
      <c r="F530" s="53">
        <f>ROUND(VLKS!Q53/1000,5)</f>
        <v>1200</v>
      </c>
      <c r="G530" s="117">
        <f>hsvl</f>
        <v>1</v>
      </c>
      <c r="H530" s="54">
        <f>ROUND(E530*F530*G530,5)</f>
        <v>1800</v>
      </c>
      <c r="I530" s="114"/>
      <c r="J530" s="110">
        <f>J527</f>
        <v>0</v>
      </c>
    </row>
    <row r="531" spans="1:10" s="55" customFormat="1" ht="17.100000000000001" hidden="1" customHeight="1">
      <c r="A531" s="295" t="e">
        <f t="shared" si="18"/>
        <v>#REF!</v>
      </c>
      <c r="B531" s="51"/>
      <c r="C531" s="51" t="s">
        <v>438</v>
      </c>
      <c r="D531" s="52" t="s">
        <v>82</v>
      </c>
      <c r="E531" s="112">
        <f>0.03*100</f>
        <v>3</v>
      </c>
      <c r="F531" s="53">
        <f>VLKS!Q22</f>
        <v>5000</v>
      </c>
      <c r="G531" s="117">
        <f>hsvl</f>
        <v>1</v>
      </c>
      <c r="H531" s="54">
        <f>ROUND(E531*F531*G531,5)</f>
        <v>15000</v>
      </c>
      <c r="I531" s="114"/>
      <c r="J531" s="110">
        <f>J527</f>
        <v>0</v>
      </c>
    </row>
    <row r="532" spans="1:10" s="55" customFormat="1" ht="17.100000000000001" hidden="1" customHeight="1">
      <c r="A532" s="295" t="e">
        <f t="shared" si="18"/>
        <v>#REF!</v>
      </c>
      <c r="B532" s="51"/>
      <c r="C532" s="51" t="s">
        <v>433</v>
      </c>
      <c r="D532" s="52" t="s">
        <v>26</v>
      </c>
      <c r="E532" s="112">
        <f>0.001*100</f>
        <v>0.1</v>
      </c>
      <c r="F532" s="53">
        <f>ROUND(VLKS!Q50/1000,5)</f>
        <v>51500</v>
      </c>
      <c r="G532" s="117">
        <f>hsvl</f>
        <v>1</v>
      </c>
      <c r="H532" s="54">
        <f>ROUND(E532*F532*G532,5)</f>
        <v>5150</v>
      </c>
      <c r="I532" s="114"/>
      <c r="J532" s="110">
        <f>J527</f>
        <v>0</v>
      </c>
    </row>
    <row r="533" spans="1:10" s="55" customFormat="1" ht="17.100000000000001" hidden="1" customHeight="1">
      <c r="A533" s="295" t="e">
        <f t="shared" si="18"/>
        <v>#REF!</v>
      </c>
      <c r="B533" s="51"/>
      <c r="C533" s="51" t="s">
        <v>127</v>
      </c>
      <c r="D533" s="52" t="s">
        <v>126</v>
      </c>
      <c r="E533" s="112">
        <f>10</f>
        <v>10</v>
      </c>
      <c r="F533" s="53"/>
      <c r="G533" s="117"/>
      <c r="H533" s="54">
        <f>ROUND(SUM(H529:H532)*E533/100,5)</f>
        <v>2675</v>
      </c>
      <c r="I533" s="114"/>
      <c r="J533" s="110">
        <f>J527</f>
        <v>0</v>
      </c>
    </row>
    <row r="534" spans="1:10" s="55" customFormat="1" ht="17.100000000000001" hidden="1" customHeight="1">
      <c r="A534" s="295" t="e">
        <f t="shared" si="18"/>
        <v>#REF!</v>
      </c>
      <c r="B534" s="51"/>
      <c r="C534" s="51" t="s">
        <v>125</v>
      </c>
      <c r="D534" s="52" t="s">
        <v>0</v>
      </c>
      <c r="E534" s="112"/>
      <c r="F534" s="53"/>
      <c r="G534" s="117"/>
      <c r="H534" s="56" t="e">
        <f>ROUND(SUM(H535:H536),5)</f>
        <v>#REF!</v>
      </c>
      <c r="I534" s="115"/>
      <c r="J534" s="110">
        <f>J527</f>
        <v>0</v>
      </c>
    </row>
    <row r="535" spans="1:10" s="55" customFormat="1" ht="17.100000000000001" hidden="1" customHeight="1">
      <c r="A535" s="295" t="e">
        <f t="shared" si="18"/>
        <v>#REF!</v>
      </c>
      <c r="B535" s="51"/>
      <c r="C535" s="51" t="s">
        <v>423</v>
      </c>
      <c r="D535" s="52" t="s">
        <v>3</v>
      </c>
      <c r="E535" s="112">
        <f>0.0079*100</f>
        <v>0.79</v>
      </c>
      <c r="F535" s="53" t="e">
        <f>'NC,M KS'!P4</f>
        <v>#REF!</v>
      </c>
      <c r="G535" s="117">
        <v>1.1000000000000001</v>
      </c>
      <c r="H535" s="54" t="e">
        <f>ROUND(E535*F535*G535,5)</f>
        <v>#REF!</v>
      </c>
      <c r="I535" s="114"/>
      <c r="J535" s="110">
        <f>J527</f>
        <v>0</v>
      </c>
    </row>
    <row r="536" spans="1:10" s="55" customFormat="1" ht="17.100000000000001" hidden="1" customHeight="1">
      <c r="A536" s="295" t="e">
        <f t="shared" si="18"/>
        <v>#REF!</v>
      </c>
      <c r="B536" s="51"/>
      <c r="C536" s="51" t="s">
        <v>424</v>
      </c>
      <c r="D536" s="52" t="s">
        <v>3</v>
      </c>
      <c r="E536" s="112">
        <f>0.0124*100</f>
        <v>1.24</v>
      </c>
      <c r="F536" s="53" t="e">
        <f>'NC,M KS'!P6</f>
        <v>#REF!</v>
      </c>
      <c r="G536" s="117">
        <v>1.1000000000000001</v>
      </c>
      <c r="H536" s="54" t="e">
        <f>ROUND(E536*F536*G536,5)</f>
        <v>#REF!</v>
      </c>
      <c r="I536" s="114"/>
      <c r="J536" s="110">
        <f>J527</f>
        <v>0</v>
      </c>
    </row>
    <row r="537" spans="1:10" s="55" customFormat="1" ht="17.100000000000001" hidden="1" customHeight="1">
      <c r="A537" s="295" t="e">
        <f t="shared" si="18"/>
        <v>#REF!</v>
      </c>
      <c r="B537" s="51"/>
      <c r="C537" s="51" t="s">
        <v>124</v>
      </c>
      <c r="D537" s="52" t="s">
        <v>0</v>
      </c>
      <c r="E537" s="112"/>
      <c r="F537" s="53"/>
      <c r="G537" s="117"/>
      <c r="H537" s="56">
        <f>ROUND(SUM(H538:H540),5)</f>
        <v>28725.808649999999</v>
      </c>
      <c r="I537" s="115"/>
      <c r="J537" s="110">
        <f>J527</f>
        <v>0</v>
      </c>
    </row>
    <row r="538" spans="1:10" s="55" customFormat="1" ht="17.100000000000001" hidden="1" customHeight="1">
      <c r="A538" s="295" t="e">
        <f t="shared" si="18"/>
        <v>#REF!</v>
      </c>
      <c r="B538" s="51"/>
      <c r="C538" s="51" t="s">
        <v>436</v>
      </c>
      <c r="D538" s="52" t="s">
        <v>4</v>
      </c>
      <c r="E538" s="112">
        <f>0.0014*100</f>
        <v>0.13999999999999999</v>
      </c>
      <c r="F538" s="53">
        <f>'NC,M KS'!P28</f>
        <v>147060</v>
      </c>
      <c r="G538" s="117">
        <v>1.1000000000000001</v>
      </c>
      <c r="H538" s="54">
        <f>ROUND(E538*F538*G538,5)</f>
        <v>22647.24</v>
      </c>
      <c r="I538" s="114"/>
      <c r="J538" s="110">
        <f>J527</f>
        <v>0</v>
      </c>
    </row>
    <row r="539" spans="1:10" s="55" customFormat="1" ht="17.100000000000001" hidden="1" customHeight="1">
      <c r="A539" s="295" t="e">
        <f t="shared" si="18"/>
        <v>#REF!</v>
      </c>
      <c r="B539" s="51"/>
      <c r="C539" s="51" t="s">
        <v>425</v>
      </c>
      <c r="D539" s="52" t="s">
        <v>4</v>
      </c>
      <c r="E539" s="112">
        <f>0.0029*100</f>
        <v>0.28999999999999998</v>
      </c>
      <c r="F539" s="53">
        <f>'NC,M KS'!P27</f>
        <v>14767</v>
      </c>
      <c r="G539" s="117">
        <v>1.1000000000000001</v>
      </c>
      <c r="H539" s="54">
        <f>ROUND(E539*F539*G539,5)</f>
        <v>4710.6729999999998</v>
      </c>
      <c r="I539" s="114"/>
      <c r="J539" s="110">
        <f>J527</f>
        <v>0</v>
      </c>
    </row>
    <row r="540" spans="1:10" s="55" customFormat="1" ht="17.100000000000001" hidden="1" customHeight="1">
      <c r="A540" s="295" t="e">
        <f t="shared" si="18"/>
        <v>#REF!</v>
      </c>
      <c r="B540" s="51"/>
      <c r="C540" s="51" t="s">
        <v>130</v>
      </c>
      <c r="D540" s="52" t="s">
        <v>126</v>
      </c>
      <c r="E540" s="112">
        <f>5</f>
        <v>5</v>
      </c>
      <c r="F540" s="53"/>
      <c r="G540" s="117"/>
      <c r="H540" s="54">
        <f>ROUND(SUM(H538:H539)*E540/100,5)</f>
        <v>1367.8956499999999</v>
      </c>
      <c r="I540" s="114"/>
      <c r="J540" s="110">
        <f>J527</f>
        <v>0</v>
      </c>
    </row>
    <row r="541" spans="1:10" s="55" customFormat="1" ht="17.100000000000001" hidden="1" customHeight="1">
      <c r="A541" s="295" t="e">
        <f t="shared" si="18"/>
        <v>#REF!</v>
      </c>
      <c r="B541" s="51"/>
      <c r="C541" s="170" t="s">
        <v>556</v>
      </c>
      <c r="D541" s="171" t="s">
        <v>136</v>
      </c>
      <c r="E541" s="172" t="s">
        <v>205</v>
      </c>
      <c r="F541" s="53"/>
      <c r="G541" s="117"/>
      <c r="H541" s="173" t="e">
        <f>ROUND(H528+H534+H537,5)</f>
        <v>#REF!</v>
      </c>
      <c r="I541" s="114"/>
      <c r="J541" s="110">
        <f>J527</f>
        <v>0</v>
      </c>
    </row>
    <row r="542" spans="1:10" s="55" customFormat="1" ht="17.100000000000001" hidden="1" customHeight="1">
      <c r="A542" s="295" t="e">
        <f t="shared" si="18"/>
        <v>#REF!</v>
      </c>
      <c r="B542" s="51"/>
      <c r="C542" s="170" t="s">
        <v>557</v>
      </c>
      <c r="D542" s="171" t="s">
        <v>204</v>
      </c>
      <c r="E542" s="172" t="s">
        <v>558</v>
      </c>
      <c r="F542" s="53"/>
      <c r="G542" s="117"/>
      <c r="H542" s="173" t="e">
        <f>SUM(H543:H544)</f>
        <v>#REF!</v>
      </c>
      <c r="I542" s="114"/>
      <c r="J542" s="110">
        <f>J527</f>
        <v>0</v>
      </c>
    </row>
    <row r="543" spans="1:10" s="55" customFormat="1" ht="17.100000000000001" hidden="1" customHeight="1">
      <c r="A543" s="295" t="e">
        <f t="shared" si="18"/>
        <v>#REF!</v>
      </c>
      <c r="B543" s="51"/>
      <c r="C543" s="51" t="s">
        <v>426</v>
      </c>
      <c r="D543" s="52" t="s">
        <v>559</v>
      </c>
      <c r="E543" s="116">
        <f>cpc</f>
        <v>0.7</v>
      </c>
      <c r="F543" s="174"/>
      <c r="G543" s="175"/>
      <c r="H543" s="54" t="e">
        <f>E543*H534</f>
        <v>#REF!</v>
      </c>
      <c r="I543" s="114"/>
      <c r="J543" s="110">
        <f>J527</f>
        <v>0</v>
      </c>
    </row>
    <row r="544" spans="1:10" s="55" customFormat="1" ht="30" hidden="1">
      <c r="A544" s="295" t="e">
        <f t="shared" si="18"/>
        <v>#REF!</v>
      </c>
      <c r="B544" s="51"/>
      <c r="C544" s="78" t="s">
        <v>560</v>
      </c>
      <c r="D544" s="79" t="s">
        <v>561</v>
      </c>
      <c r="E544" s="176">
        <f>hmc</f>
        <v>0.05</v>
      </c>
      <c r="F544" s="53"/>
      <c r="G544" s="113"/>
      <c r="H544" s="54" t="e">
        <f>E544*H541</f>
        <v>#REF!</v>
      </c>
      <c r="I544" s="114"/>
      <c r="J544" s="110">
        <f>J527</f>
        <v>0</v>
      </c>
    </row>
    <row r="545" spans="1:10" s="55" customFormat="1" ht="17.100000000000001" hidden="1" customHeight="1">
      <c r="A545" s="295" t="e">
        <f t="shared" si="18"/>
        <v>#REF!</v>
      </c>
      <c r="B545" s="51"/>
      <c r="C545" s="170" t="s">
        <v>562</v>
      </c>
      <c r="D545" s="171" t="s">
        <v>563</v>
      </c>
      <c r="E545" s="179">
        <f>tn</f>
        <v>0.06</v>
      </c>
      <c r="F545" s="177"/>
      <c r="G545" s="178"/>
      <c r="H545" s="181" t="e">
        <f>SUM(H541:H542)*E545</f>
        <v>#REF!</v>
      </c>
      <c r="I545" s="114"/>
      <c r="J545" s="110">
        <f>J527</f>
        <v>0</v>
      </c>
    </row>
    <row r="546" spans="1:10" s="55" customFormat="1" ht="17.100000000000001" hidden="1" customHeight="1">
      <c r="A546" s="295" t="e">
        <f t="shared" si="18"/>
        <v>#REF!</v>
      </c>
      <c r="B546" s="51"/>
      <c r="C546" s="92" t="s">
        <v>1879</v>
      </c>
      <c r="D546" s="171" t="s">
        <v>227</v>
      </c>
      <c r="E546" s="180" t="s">
        <v>564</v>
      </c>
      <c r="F546" s="174"/>
      <c r="G546" s="175"/>
      <c r="H546" s="173" t="e">
        <f>SUM(H547:H548)</f>
        <v>#REF!</v>
      </c>
      <c r="I546" s="114"/>
      <c r="J546" s="110">
        <f>J527</f>
        <v>0</v>
      </c>
    </row>
    <row r="547" spans="1:10" s="55" customFormat="1" ht="17.100000000000001" hidden="1" customHeight="1">
      <c r="A547" s="295" t="e">
        <f t="shared" si="18"/>
        <v>#REF!</v>
      </c>
      <c r="B547" s="51"/>
      <c r="C547" s="51" t="s">
        <v>427</v>
      </c>
      <c r="D547" s="52" t="s">
        <v>428</v>
      </c>
      <c r="E547" s="1093">
        <f>paks</f>
        <v>0</v>
      </c>
      <c r="F547" s="174"/>
      <c r="G547" s="175"/>
      <c r="H547" s="54" t="e">
        <f>(H541+H542+H545)*E547</f>
        <v>#REF!</v>
      </c>
      <c r="I547" s="114"/>
      <c r="J547" s="110">
        <f>J527</f>
        <v>0</v>
      </c>
    </row>
    <row r="548" spans="1:10" s="55" customFormat="1" ht="17.100000000000001" hidden="1" customHeight="1">
      <c r="A548" s="295" t="e">
        <f t="shared" si="18"/>
        <v>#REF!</v>
      </c>
      <c r="B548" s="51"/>
      <c r="C548" s="51" t="s">
        <v>429</v>
      </c>
      <c r="D548" s="52" t="s">
        <v>430</v>
      </c>
      <c r="E548" s="1097">
        <f>bcks</f>
        <v>0.03</v>
      </c>
      <c r="F548" s="53"/>
      <c r="G548" s="113"/>
      <c r="H548" s="54" t="e">
        <f>(H541+H542+H545)*E548</f>
        <v>#REF!</v>
      </c>
      <c r="I548" s="114"/>
      <c r="J548" s="715">
        <f>J527</f>
        <v>0</v>
      </c>
    </row>
    <row r="549" spans="1:10" s="55" customFormat="1" ht="17.100000000000001" hidden="1" customHeight="1">
      <c r="A549" s="295" t="e">
        <f t="shared" si="18"/>
        <v>#REF!</v>
      </c>
      <c r="B549" s="51"/>
      <c r="C549" s="170" t="s">
        <v>565</v>
      </c>
      <c r="D549" s="171" t="s">
        <v>218</v>
      </c>
      <c r="E549" s="172" t="s">
        <v>566</v>
      </c>
      <c r="F549" s="53"/>
      <c r="G549" s="113"/>
      <c r="H549" s="173" t="e">
        <f>H541+H542+H545+H546</f>
        <v>#REF!</v>
      </c>
      <c r="I549" s="114"/>
      <c r="J549" s="715">
        <f>J527</f>
        <v>0</v>
      </c>
    </row>
    <row r="550" spans="1:10" s="55" customFormat="1" ht="17.100000000000001" hidden="1" customHeight="1">
      <c r="A550" s="295" t="e">
        <f t="shared" si="18"/>
        <v>#REF!</v>
      </c>
      <c r="B550" s="51"/>
      <c r="C550" s="51" t="s">
        <v>567</v>
      </c>
      <c r="D550" s="52" t="s">
        <v>222</v>
      </c>
      <c r="E550" s="112" t="s">
        <v>1917</v>
      </c>
      <c r="F550" s="174"/>
      <c r="G550" s="175"/>
      <c r="H550" s="54" t="e">
        <f>ROUND(H549*10/100,5)</f>
        <v>#REF!</v>
      </c>
      <c r="I550" s="114"/>
      <c r="J550" s="715">
        <f>J527</f>
        <v>0</v>
      </c>
    </row>
    <row r="551" spans="1:10" s="55" customFormat="1" ht="17.100000000000001" hidden="1" customHeight="1">
      <c r="A551" s="295" t="e">
        <f t="shared" si="18"/>
        <v>#REF!</v>
      </c>
      <c r="B551" s="51"/>
      <c r="C551" s="170" t="s">
        <v>568</v>
      </c>
      <c r="D551" s="171" t="s">
        <v>225</v>
      </c>
      <c r="E551" s="172" t="s">
        <v>192</v>
      </c>
      <c r="F551" s="53"/>
      <c r="G551" s="117"/>
      <c r="H551" s="56" t="e">
        <f>ROUND(H549+H550,5)</f>
        <v>#REF!</v>
      </c>
      <c r="I551" s="115"/>
      <c r="J551" s="715">
        <f>J527</f>
        <v>0</v>
      </c>
    </row>
    <row r="552" spans="1:10" s="263" customFormat="1" ht="17.100000000000001" hidden="1" customHeight="1">
      <c r="A552" s="264" t="e">
        <f t="shared" si="18"/>
        <v>#REF!</v>
      </c>
      <c r="B552" s="265" t="s">
        <v>370</v>
      </c>
      <c r="C552" s="265" t="s">
        <v>371</v>
      </c>
      <c r="D552" s="266" t="s">
        <v>310</v>
      </c>
      <c r="E552" s="270"/>
      <c r="F552" s="267"/>
      <c r="G552" s="271"/>
      <c r="H552" s="268" t="e">
        <f>H576</f>
        <v>#REF!</v>
      </c>
      <c r="I552" s="272"/>
      <c r="J552" s="273">
        <f>IF(SUMIF(Khaosat!$B$6:$B$47,'PT giaKS'!B552,Khaosat!$I$6:$I$47)&lt;&gt;0,$J$6,0)</f>
        <v>0</v>
      </c>
    </row>
    <row r="553" spans="1:10" s="55" customFormat="1" ht="17.100000000000001" hidden="1" customHeight="1">
      <c r="A553" s="50" t="e">
        <f t="shared" si="18"/>
        <v>#REF!</v>
      </c>
      <c r="B553" s="253"/>
      <c r="C553" s="51" t="s">
        <v>128</v>
      </c>
      <c r="D553" s="52" t="s">
        <v>0</v>
      </c>
      <c r="E553" s="112"/>
      <c r="F553" s="53"/>
      <c r="G553" s="117"/>
      <c r="H553" s="56">
        <f>ROUND(SUM(H554:H558),5)</f>
        <v>330.55</v>
      </c>
      <c r="I553" s="115"/>
      <c r="J553" s="110">
        <f>J552</f>
        <v>0</v>
      </c>
    </row>
    <row r="554" spans="1:10" s="55" customFormat="1" ht="17.100000000000001" hidden="1" customHeight="1">
      <c r="A554" s="50" t="e">
        <f t="shared" si="18"/>
        <v>#REF!</v>
      </c>
      <c r="B554" s="51"/>
      <c r="C554" s="51" t="s">
        <v>441</v>
      </c>
      <c r="D554" s="52" t="s">
        <v>82</v>
      </c>
      <c r="E554" s="112">
        <f>0.0035</f>
        <v>3.5000000000000001E-3</v>
      </c>
      <c r="F554" s="53">
        <f>VLKS!$Q$41</f>
        <v>16000</v>
      </c>
      <c r="G554" s="117">
        <f>hsvl</f>
        <v>1</v>
      </c>
      <c r="H554" s="54">
        <f>ROUND(E554*F554*G554,5)</f>
        <v>56</v>
      </c>
      <c r="I554" s="114"/>
      <c r="J554" s="110">
        <f>J552</f>
        <v>0</v>
      </c>
    </row>
    <row r="555" spans="1:10" s="55" customFormat="1" ht="17.100000000000001" hidden="1" customHeight="1">
      <c r="A555" s="50" t="e">
        <f t="shared" si="18"/>
        <v>#REF!</v>
      </c>
      <c r="B555" s="51"/>
      <c r="C555" s="51" t="s">
        <v>431</v>
      </c>
      <c r="D555" s="52" t="s">
        <v>26</v>
      </c>
      <c r="E555" s="112">
        <f>0.015</f>
        <v>1.4999999999999999E-2</v>
      </c>
      <c r="F555" s="53">
        <f>ROUND(VLKS!$Q$53/1000,5)</f>
        <v>1200</v>
      </c>
      <c r="G555" s="117">
        <f>hsvl</f>
        <v>1</v>
      </c>
      <c r="H555" s="54">
        <f>ROUND(E555*F555*G555,5)</f>
        <v>18</v>
      </c>
      <c r="I555" s="114"/>
      <c r="J555" s="110">
        <f>J552</f>
        <v>0</v>
      </c>
    </row>
    <row r="556" spans="1:10" s="55" customFormat="1" ht="17.100000000000001" hidden="1" customHeight="1">
      <c r="A556" s="50" t="e">
        <f t="shared" si="18"/>
        <v>#REF!</v>
      </c>
      <c r="B556" s="51"/>
      <c r="C556" s="51" t="s">
        <v>438</v>
      </c>
      <c r="D556" s="52" t="s">
        <v>82</v>
      </c>
      <c r="E556" s="112">
        <f>0.035</f>
        <v>3.5000000000000003E-2</v>
      </c>
      <c r="F556" s="53">
        <f>VLKS!$Q$22</f>
        <v>5000</v>
      </c>
      <c r="G556" s="117">
        <f>hsvl</f>
        <v>1</v>
      </c>
      <c r="H556" s="54">
        <f>ROUND(E556*F556*G556,5)</f>
        <v>175</v>
      </c>
      <c r="I556" s="114"/>
      <c r="J556" s="110">
        <f>J552</f>
        <v>0</v>
      </c>
    </row>
    <row r="557" spans="1:10" s="55" customFormat="1" ht="17.100000000000001" hidden="1" customHeight="1">
      <c r="A557" s="50" t="e">
        <f t="shared" si="18"/>
        <v>#REF!</v>
      </c>
      <c r="B557" s="51"/>
      <c r="C557" s="51" t="s">
        <v>433</v>
      </c>
      <c r="D557" s="52" t="s">
        <v>26</v>
      </c>
      <c r="E557" s="112">
        <f>0.001</f>
        <v>1E-3</v>
      </c>
      <c r="F557" s="53">
        <f>ROUND(VLKS!$Q$50/1000,5)</f>
        <v>51500</v>
      </c>
      <c r="G557" s="117">
        <f>hsvl</f>
        <v>1</v>
      </c>
      <c r="H557" s="54">
        <f>ROUND(E557*F557*G557,5)</f>
        <v>51.5</v>
      </c>
      <c r="I557" s="114"/>
      <c r="J557" s="110">
        <f>J552</f>
        <v>0</v>
      </c>
    </row>
    <row r="558" spans="1:10" s="55" customFormat="1" ht="17.100000000000001" hidden="1" customHeight="1">
      <c r="A558" s="50" t="e">
        <f t="shared" si="18"/>
        <v>#REF!</v>
      </c>
      <c r="B558" s="51"/>
      <c r="C558" s="51" t="s">
        <v>127</v>
      </c>
      <c r="D558" s="52" t="s">
        <v>126</v>
      </c>
      <c r="E558" s="112">
        <f>10</f>
        <v>10</v>
      </c>
      <c r="F558" s="53"/>
      <c r="G558" s="117"/>
      <c r="H558" s="54">
        <f>ROUND(SUM(H554:H557)*E558/100,5)</f>
        <v>30.05</v>
      </c>
      <c r="I558" s="114"/>
      <c r="J558" s="110">
        <f>J552</f>
        <v>0</v>
      </c>
    </row>
    <row r="559" spans="1:10" s="55" customFormat="1" ht="17.100000000000001" hidden="1" customHeight="1">
      <c r="A559" s="50" t="e">
        <f t="shared" si="18"/>
        <v>#REF!</v>
      </c>
      <c r="B559" s="51"/>
      <c r="C559" s="51" t="s">
        <v>125</v>
      </c>
      <c r="D559" s="52" t="s">
        <v>0</v>
      </c>
      <c r="E559" s="112"/>
      <c r="F559" s="53"/>
      <c r="G559" s="117"/>
      <c r="H559" s="56" t="e">
        <f>ROUND(SUM(H560:H561),5)</f>
        <v>#REF!</v>
      </c>
      <c r="I559" s="115"/>
      <c r="J559" s="110">
        <f>J552</f>
        <v>0</v>
      </c>
    </row>
    <row r="560" spans="1:10" s="55" customFormat="1" ht="17.100000000000001" hidden="1" customHeight="1">
      <c r="A560" s="50" t="e">
        <f t="shared" si="18"/>
        <v>#REF!</v>
      </c>
      <c r="B560" s="51"/>
      <c r="C560" s="51" t="s">
        <v>423</v>
      </c>
      <c r="D560" s="52" t="s">
        <v>3</v>
      </c>
      <c r="E560" s="112">
        <f>0.0102</f>
        <v>1.0200000000000001E-2</v>
      </c>
      <c r="F560" s="53" t="e">
        <f>'NC,M KS'!$P$4</f>
        <v>#REF!</v>
      </c>
      <c r="G560" s="117">
        <f>hsnc</f>
        <v>1</v>
      </c>
      <c r="H560" s="54" t="e">
        <f>ROUND(E560*F560*G560,5)</f>
        <v>#REF!</v>
      </c>
      <c r="I560" s="114"/>
      <c r="J560" s="110">
        <f>J552</f>
        <v>0</v>
      </c>
    </row>
    <row r="561" spans="1:10" s="55" customFormat="1" ht="17.100000000000001" hidden="1" customHeight="1">
      <c r="A561" s="50" t="e">
        <f t="shared" si="18"/>
        <v>#REF!</v>
      </c>
      <c r="B561" s="51"/>
      <c r="C561" s="51" t="s">
        <v>424</v>
      </c>
      <c r="D561" s="52" t="s">
        <v>3</v>
      </c>
      <c r="E561" s="112">
        <f>0.0164</f>
        <v>1.6400000000000001E-2</v>
      </c>
      <c r="F561" s="53" t="e">
        <f>'NC,M KS'!$P$6</f>
        <v>#REF!</v>
      </c>
      <c r="G561" s="117">
        <f>hsnc</f>
        <v>1</v>
      </c>
      <c r="H561" s="54" t="e">
        <f>ROUND(E561*F561*G561,5)</f>
        <v>#REF!</v>
      </c>
      <c r="I561" s="114"/>
      <c r="J561" s="110">
        <f>J552</f>
        <v>0</v>
      </c>
    </row>
    <row r="562" spans="1:10" s="55" customFormat="1" ht="17.100000000000001" hidden="1" customHeight="1">
      <c r="A562" s="50" t="e">
        <f t="shared" si="18"/>
        <v>#REF!</v>
      </c>
      <c r="B562" s="51"/>
      <c r="C562" s="51" t="s">
        <v>124</v>
      </c>
      <c r="D562" s="52" t="s">
        <v>0</v>
      </c>
      <c r="E562" s="112"/>
      <c r="F562" s="53"/>
      <c r="G562" s="117"/>
      <c r="H562" s="56">
        <f>ROUND(SUM(H563:H565),5)</f>
        <v>369.29687000000001</v>
      </c>
      <c r="I562" s="115"/>
      <c r="J562" s="110">
        <f>J552</f>
        <v>0</v>
      </c>
    </row>
    <row r="563" spans="1:10" s="55" customFormat="1" ht="17.100000000000001" hidden="1" customHeight="1">
      <c r="A563" s="50" t="e">
        <f t="shared" si="18"/>
        <v>#REF!</v>
      </c>
      <c r="B563" s="51"/>
      <c r="C563" s="51" t="s">
        <v>436</v>
      </c>
      <c r="D563" s="52" t="s">
        <v>4</v>
      </c>
      <c r="E563" s="112">
        <f>0.002</f>
        <v>2E-3</v>
      </c>
      <c r="F563" s="53">
        <f>'NC,M KS'!$P$28</f>
        <v>147060</v>
      </c>
      <c r="G563" s="117">
        <f>hsm</f>
        <v>1</v>
      </c>
      <c r="H563" s="54">
        <f>ROUND(E563*F563*G563,5)</f>
        <v>294.12</v>
      </c>
      <c r="I563" s="114"/>
      <c r="J563" s="110">
        <f>J552</f>
        <v>0</v>
      </c>
    </row>
    <row r="564" spans="1:10" s="55" customFormat="1" ht="17.100000000000001" hidden="1" customHeight="1">
      <c r="A564" s="50" t="e">
        <f t="shared" si="18"/>
        <v>#REF!</v>
      </c>
      <c r="B564" s="51"/>
      <c r="C564" s="51" t="s">
        <v>425</v>
      </c>
      <c r="D564" s="52" t="s">
        <v>4</v>
      </c>
      <c r="E564" s="112">
        <f>0.0039</f>
        <v>3.8999999999999998E-3</v>
      </c>
      <c r="F564" s="53">
        <f>'NC,M KS'!$P$27</f>
        <v>14767</v>
      </c>
      <c r="G564" s="117">
        <f>hsm</f>
        <v>1</v>
      </c>
      <c r="H564" s="54">
        <f>ROUND(E564*F564*G564,5)</f>
        <v>57.591299999999997</v>
      </c>
      <c r="I564" s="114"/>
      <c r="J564" s="110">
        <f>J552</f>
        <v>0</v>
      </c>
    </row>
    <row r="565" spans="1:10" s="55" customFormat="1" ht="17.100000000000001" hidden="1" customHeight="1">
      <c r="A565" s="50" t="e">
        <f t="shared" si="18"/>
        <v>#REF!</v>
      </c>
      <c r="B565" s="51"/>
      <c r="C565" s="51" t="s">
        <v>130</v>
      </c>
      <c r="D565" s="52" t="s">
        <v>126</v>
      </c>
      <c r="E565" s="112">
        <f>5</f>
        <v>5</v>
      </c>
      <c r="F565" s="53"/>
      <c r="G565" s="117"/>
      <c r="H565" s="54">
        <f>ROUND(SUM(H563:H564)*E565/100,5)</f>
        <v>17.585570000000001</v>
      </c>
      <c r="I565" s="114"/>
      <c r="J565" s="110">
        <f>J552</f>
        <v>0</v>
      </c>
    </row>
    <row r="566" spans="1:10" s="55" customFormat="1" ht="17.100000000000001" hidden="1" customHeight="1">
      <c r="A566" s="50" t="e">
        <f t="shared" si="18"/>
        <v>#REF!</v>
      </c>
      <c r="B566" s="51"/>
      <c r="C566" s="170" t="s">
        <v>556</v>
      </c>
      <c r="D566" s="171" t="s">
        <v>136</v>
      </c>
      <c r="E566" s="172" t="s">
        <v>205</v>
      </c>
      <c r="F566" s="53"/>
      <c r="G566" s="117"/>
      <c r="H566" s="173" t="e">
        <f>ROUND(H553+H559+H562,5)</f>
        <v>#REF!</v>
      </c>
      <c r="I566" s="114"/>
      <c r="J566" s="110">
        <f>J552</f>
        <v>0</v>
      </c>
    </row>
    <row r="567" spans="1:10" s="55" customFormat="1" ht="17.100000000000001" hidden="1" customHeight="1">
      <c r="A567" s="50" t="e">
        <f t="shared" si="18"/>
        <v>#REF!</v>
      </c>
      <c r="B567" s="51"/>
      <c r="C567" s="170" t="s">
        <v>557</v>
      </c>
      <c r="D567" s="171" t="s">
        <v>204</v>
      </c>
      <c r="E567" s="172" t="s">
        <v>558</v>
      </c>
      <c r="F567" s="53"/>
      <c r="G567" s="117"/>
      <c r="H567" s="173" t="e">
        <f>SUM(H568:H569)</f>
        <v>#REF!</v>
      </c>
      <c r="I567" s="114"/>
      <c r="J567" s="110">
        <f>J552</f>
        <v>0</v>
      </c>
    </row>
    <row r="568" spans="1:10" s="55" customFormat="1" ht="17.100000000000001" hidden="1" customHeight="1">
      <c r="A568" s="50" t="e">
        <f t="shared" si="18"/>
        <v>#REF!</v>
      </c>
      <c r="B568" s="51"/>
      <c r="C568" s="51" t="s">
        <v>426</v>
      </c>
      <c r="D568" s="52" t="s">
        <v>559</v>
      </c>
      <c r="E568" s="116">
        <f>cpc</f>
        <v>0.7</v>
      </c>
      <c r="F568" s="174"/>
      <c r="G568" s="175"/>
      <c r="H568" s="54" t="e">
        <f>E568*H559</f>
        <v>#REF!</v>
      </c>
      <c r="I568" s="114"/>
      <c r="J568" s="110">
        <f>J552</f>
        <v>0</v>
      </c>
    </row>
    <row r="569" spans="1:10" s="55" customFormat="1" ht="17.100000000000001" hidden="1" customHeight="1">
      <c r="A569" s="50" t="e">
        <f t="shared" si="18"/>
        <v>#REF!</v>
      </c>
      <c r="B569" s="51"/>
      <c r="C569" s="78" t="s">
        <v>560</v>
      </c>
      <c r="D569" s="79" t="s">
        <v>561</v>
      </c>
      <c r="E569" s="176">
        <f>hmc</f>
        <v>0.05</v>
      </c>
      <c r="F569" s="53"/>
      <c r="G569" s="113"/>
      <c r="H569" s="54" t="e">
        <f>E569*H566</f>
        <v>#REF!</v>
      </c>
      <c r="I569" s="114"/>
      <c r="J569" s="110">
        <f>J552</f>
        <v>0</v>
      </c>
    </row>
    <row r="570" spans="1:10" s="55" customFormat="1" ht="17.100000000000001" hidden="1" customHeight="1">
      <c r="A570" s="50" t="e">
        <f t="shared" si="18"/>
        <v>#REF!</v>
      </c>
      <c r="B570" s="51"/>
      <c r="C570" s="170" t="s">
        <v>562</v>
      </c>
      <c r="D570" s="171" t="s">
        <v>563</v>
      </c>
      <c r="E570" s="179">
        <f>tn</f>
        <v>0.06</v>
      </c>
      <c r="F570" s="177"/>
      <c r="G570" s="178"/>
      <c r="H570" s="181" t="e">
        <f>SUM(H566:H567)*E570</f>
        <v>#REF!</v>
      </c>
      <c r="I570" s="114"/>
      <c r="J570" s="110">
        <f>J552</f>
        <v>0</v>
      </c>
    </row>
    <row r="571" spans="1:10" s="55" customFormat="1" ht="17.100000000000001" hidden="1" customHeight="1">
      <c r="A571" s="50" t="e">
        <f t="shared" si="18"/>
        <v>#REF!</v>
      </c>
      <c r="B571" s="51"/>
      <c r="C571" s="92" t="s">
        <v>1879</v>
      </c>
      <c r="D571" s="171" t="s">
        <v>227</v>
      </c>
      <c r="E571" s="180" t="s">
        <v>564</v>
      </c>
      <c r="F571" s="174"/>
      <c r="G571" s="175"/>
      <c r="H571" s="173" t="e">
        <f>SUM(H572:H573)</f>
        <v>#REF!</v>
      </c>
      <c r="I571" s="114"/>
      <c r="J571" s="110">
        <f>J552</f>
        <v>0</v>
      </c>
    </row>
    <row r="572" spans="1:10" s="55" customFormat="1" ht="17.100000000000001" hidden="1" customHeight="1">
      <c r="A572" s="50" t="e">
        <f t="shared" si="18"/>
        <v>#REF!</v>
      </c>
      <c r="B572" s="51"/>
      <c r="C572" s="51" t="s">
        <v>427</v>
      </c>
      <c r="D572" s="52" t="s">
        <v>428</v>
      </c>
      <c r="E572" s="1093">
        <f>paks</f>
        <v>0</v>
      </c>
      <c r="F572" s="174"/>
      <c r="G572" s="175"/>
      <c r="H572" s="54" t="e">
        <f>(H566+H567+H570)*E572</f>
        <v>#REF!</v>
      </c>
      <c r="I572" s="114"/>
      <c r="J572" s="110">
        <f>J552</f>
        <v>0</v>
      </c>
    </row>
    <row r="573" spans="1:10" s="55" customFormat="1" ht="17.100000000000001" hidden="1" customHeight="1">
      <c r="A573" s="50" t="e">
        <f t="shared" si="18"/>
        <v>#REF!</v>
      </c>
      <c r="B573" s="51"/>
      <c r="C573" s="51" t="s">
        <v>429</v>
      </c>
      <c r="D573" s="52" t="s">
        <v>430</v>
      </c>
      <c r="E573" s="1093">
        <f>bcks</f>
        <v>0.03</v>
      </c>
      <c r="F573" s="53"/>
      <c r="G573" s="113"/>
      <c r="H573" s="54" t="e">
        <f>(H566+H567+H570)*E573</f>
        <v>#REF!</v>
      </c>
      <c r="I573" s="114"/>
      <c r="J573" s="715">
        <f>J552</f>
        <v>0</v>
      </c>
    </row>
    <row r="574" spans="1:10" s="55" customFormat="1" ht="17.100000000000001" hidden="1" customHeight="1">
      <c r="A574" s="50" t="e">
        <f t="shared" si="18"/>
        <v>#REF!</v>
      </c>
      <c r="B574" s="51"/>
      <c r="C574" s="170" t="s">
        <v>565</v>
      </c>
      <c r="D574" s="171" t="s">
        <v>218</v>
      </c>
      <c r="E574" s="172" t="s">
        <v>566</v>
      </c>
      <c r="F574" s="53"/>
      <c r="G574" s="113"/>
      <c r="H574" s="173" t="e">
        <f>H566+H567+H570+H571</f>
        <v>#REF!</v>
      </c>
      <c r="I574" s="114"/>
      <c r="J574" s="715">
        <f>J552</f>
        <v>0</v>
      </c>
    </row>
    <row r="575" spans="1:10" s="55" customFormat="1" ht="17.100000000000001" hidden="1" customHeight="1">
      <c r="A575" s="50" t="e">
        <f t="shared" si="18"/>
        <v>#REF!</v>
      </c>
      <c r="B575" s="51"/>
      <c r="C575" s="51" t="s">
        <v>567</v>
      </c>
      <c r="D575" s="52" t="s">
        <v>222</v>
      </c>
      <c r="E575" s="112" t="s">
        <v>1917</v>
      </c>
      <c r="F575" s="174"/>
      <c r="G575" s="175"/>
      <c r="H575" s="54" t="e">
        <f>ROUND(H574*10/100,5)</f>
        <v>#REF!</v>
      </c>
      <c r="I575" s="114"/>
      <c r="J575" s="715">
        <f>J552</f>
        <v>0</v>
      </c>
    </row>
    <row r="576" spans="1:10" s="55" customFormat="1" ht="17.100000000000001" hidden="1" customHeight="1">
      <c r="A576" s="50" t="e">
        <f t="shared" si="18"/>
        <v>#REF!</v>
      </c>
      <c r="B576" s="51"/>
      <c r="C576" s="170" t="s">
        <v>568</v>
      </c>
      <c r="D576" s="171" t="s">
        <v>225</v>
      </c>
      <c r="E576" s="172" t="s">
        <v>192</v>
      </c>
      <c r="F576" s="53"/>
      <c r="G576" s="117"/>
      <c r="H576" s="56" t="e">
        <f>ROUND(H574+H575,5)</f>
        <v>#REF!</v>
      </c>
      <c r="I576" s="115"/>
      <c r="J576" s="715">
        <f>J552</f>
        <v>0</v>
      </c>
    </row>
    <row r="577" spans="1:10" s="263" customFormat="1" ht="17.100000000000001" customHeight="1">
      <c r="A577" s="264" t="e">
        <f t="shared" ref="A577:A602" si="19">IF(B577&lt;&gt;0,A576+J577,A576)</f>
        <v>#REF!</v>
      </c>
      <c r="B577" s="265" t="s">
        <v>2004</v>
      </c>
      <c r="C577" s="265" t="s">
        <v>2005</v>
      </c>
      <c r="D577" s="266" t="s">
        <v>310</v>
      </c>
      <c r="E577" s="270"/>
      <c r="F577" s="267"/>
      <c r="G577" s="271"/>
      <c r="H577" s="268" t="e">
        <f>H601</f>
        <v>#REF!</v>
      </c>
      <c r="I577" s="272"/>
      <c r="J577" s="273" t="e">
        <f>IF(SUMIF(Khaosat!$B$6:$B$47,'PT giaKS'!B577,Khaosat!$I$6:$I$47)&lt;&gt;0,$J$6,0)</f>
        <v>#REF!</v>
      </c>
    </row>
    <row r="578" spans="1:10" s="55" customFormat="1" ht="17.100000000000001" customHeight="1">
      <c r="A578" s="295" t="e">
        <f t="shared" si="19"/>
        <v>#REF!</v>
      </c>
      <c r="B578" s="253"/>
      <c r="C578" s="51" t="s">
        <v>128</v>
      </c>
      <c r="D578" s="52" t="s">
        <v>0</v>
      </c>
      <c r="E578" s="112"/>
      <c r="F578" s="53"/>
      <c r="G578" s="117"/>
      <c r="H578" s="56">
        <f>ROUND(SUM(H579:H583),5)</f>
        <v>330.55</v>
      </c>
      <c r="I578" s="115"/>
      <c r="J578" s="110" t="e">
        <f>J577</f>
        <v>#REF!</v>
      </c>
    </row>
    <row r="579" spans="1:10" s="55" customFormat="1" ht="17.100000000000001" customHeight="1">
      <c r="A579" s="295" t="e">
        <f t="shared" si="19"/>
        <v>#REF!</v>
      </c>
      <c r="B579" s="51"/>
      <c r="C579" s="51" t="s">
        <v>441</v>
      </c>
      <c r="D579" s="52" t="s">
        <v>82</v>
      </c>
      <c r="E579" s="112">
        <f>0.0035</f>
        <v>3.5000000000000001E-3</v>
      </c>
      <c r="F579" s="53">
        <f>VLKS!$Q$41</f>
        <v>16000</v>
      </c>
      <c r="G579" s="117">
        <f>hsvl</f>
        <v>1</v>
      </c>
      <c r="H579" s="54">
        <f>ROUND(E579*F579*G579,5)</f>
        <v>56</v>
      </c>
      <c r="I579" s="114"/>
      <c r="J579" s="110" t="e">
        <f>J577</f>
        <v>#REF!</v>
      </c>
    </row>
    <row r="580" spans="1:10" s="55" customFormat="1" ht="17.100000000000001" customHeight="1">
      <c r="A580" s="295" t="e">
        <f t="shared" si="19"/>
        <v>#REF!</v>
      </c>
      <c r="B580" s="51"/>
      <c r="C580" s="51" t="s">
        <v>431</v>
      </c>
      <c r="D580" s="52" t="s">
        <v>26</v>
      </c>
      <c r="E580" s="112">
        <f>0.015</f>
        <v>1.4999999999999999E-2</v>
      </c>
      <c r="F580" s="53">
        <f>ROUND(VLKS!$Q$53/1000,5)</f>
        <v>1200</v>
      </c>
      <c r="G580" s="117">
        <f>hsvl</f>
        <v>1</v>
      </c>
      <c r="H580" s="54">
        <f>ROUND(E580*F580*G580,5)</f>
        <v>18</v>
      </c>
      <c r="I580" s="114"/>
      <c r="J580" s="110" t="e">
        <f>J577</f>
        <v>#REF!</v>
      </c>
    </row>
    <row r="581" spans="1:10" s="55" customFormat="1" ht="17.100000000000001" customHeight="1">
      <c r="A581" s="295" t="e">
        <f t="shared" si="19"/>
        <v>#REF!</v>
      </c>
      <c r="B581" s="51"/>
      <c r="C581" s="51" t="s">
        <v>438</v>
      </c>
      <c r="D581" s="52" t="s">
        <v>82</v>
      </c>
      <c r="E581" s="112">
        <f>0.035</f>
        <v>3.5000000000000003E-2</v>
      </c>
      <c r="F581" s="53">
        <f>VLKS!$Q$22</f>
        <v>5000</v>
      </c>
      <c r="G581" s="117">
        <f>hsvl</f>
        <v>1</v>
      </c>
      <c r="H581" s="54">
        <f>ROUND(E581*F581*G581,5)</f>
        <v>175</v>
      </c>
      <c r="I581" s="114"/>
      <c r="J581" s="110" t="e">
        <f>J577</f>
        <v>#REF!</v>
      </c>
    </row>
    <row r="582" spans="1:10" s="55" customFormat="1" ht="17.100000000000001" customHeight="1">
      <c r="A582" s="295" t="e">
        <f t="shared" si="19"/>
        <v>#REF!</v>
      </c>
      <c r="B582" s="51"/>
      <c r="C582" s="51" t="s">
        <v>433</v>
      </c>
      <c r="D582" s="52" t="s">
        <v>26</v>
      </c>
      <c r="E582" s="112">
        <f>0.001</f>
        <v>1E-3</v>
      </c>
      <c r="F582" s="53">
        <f>ROUND(VLKS!$Q$50/1000,5)</f>
        <v>51500</v>
      </c>
      <c r="G582" s="117">
        <f>hsvl</f>
        <v>1</v>
      </c>
      <c r="H582" s="54">
        <f>ROUND(E582*F582*G582,5)</f>
        <v>51.5</v>
      </c>
      <c r="I582" s="114"/>
      <c r="J582" s="110" t="e">
        <f>J577</f>
        <v>#REF!</v>
      </c>
    </row>
    <row r="583" spans="1:10" s="55" customFormat="1" ht="17.100000000000001" customHeight="1">
      <c r="A583" s="295" t="e">
        <f t="shared" si="19"/>
        <v>#REF!</v>
      </c>
      <c r="B583" s="51"/>
      <c r="C583" s="51" t="s">
        <v>127</v>
      </c>
      <c r="D583" s="52" t="s">
        <v>126</v>
      </c>
      <c r="E583" s="112">
        <f>10</f>
        <v>10</v>
      </c>
      <c r="F583" s="53"/>
      <c r="G583" s="117"/>
      <c r="H583" s="54">
        <f>ROUND(SUM(H579:H582)*E583/100,5)</f>
        <v>30.05</v>
      </c>
      <c r="I583" s="114"/>
      <c r="J583" s="110" t="e">
        <f>J577</f>
        <v>#REF!</v>
      </c>
    </row>
    <row r="584" spans="1:10" s="55" customFormat="1" ht="17.100000000000001" customHeight="1">
      <c r="A584" s="295" t="e">
        <f t="shared" si="19"/>
        <v>#REF!</v>
      </c>
      <c r="B584" s="51"/>
      <c r="C584" s="51" t="s">
        <v>125</v>
      </c>
      <c r="D584" s="52" t="s">
        <v>0</v>
      </c>
      <c r="E584" s="112"/>
      <c r="F584" s="53"/>
      <c r="G584" s="117"/>
      <c r="H584" s="56" t="e">
        <f>ROUND(SUM(H585:H586),5)</f>
        <v>#REF!</v>
      </c>
      <c r="I584" s="115"/>
      <c r="J584" s="110" t="e">
        <f>J577</f>
        <v>#REF!</v>
      </c>
    </row>
    <row r="585" spans="1:10" s="55" customFormat="1" ht="17.100000000000001" customHeight="1">
      <c r="A585" s="295" t="e">
        <f t="shared" si="19"/>
        <v>#REF!</v>
      </c>
      <c r="B585" s="51"/>
      <c r="C585" s="51" t="s">
        <v>423</v>
      </c>
      <c r="D585" s="52" t="s">
        <v>3</v>
      </c>
      <c r="E585" s="112">
        <f>0.0102</f>
        <v>1.0200000000000001E-2</v>
      </c>
      <c r="F585" s="53" t="e">
        <f>'NC,M KS'!$P$4</f>
        <v>#REF!</v>
      </c>
      <c r="G585" s="117">
        <v>1.1000000000000001</v>
      </c>
      <c r="H585" s="54" t="e">
        <f>ROUND(E585*F585*G585,5)</f>
        <v>#REF!</v>
      </c>
      <c r="I585" s="114"/>
      <c r="J585" s="110" t="e">
        <f>J577</f>
        <v>#REF!</v>
      </c>
    </row>
    <row r="586" spans="1:10" s="55" customFormat="1" ht="17.100000000000001" customHeight="1">
      <c r="A586" s="295" t="e">
        <f t="shared" si="19"/>
        <v>#REF!</v>
      </c>
      <c r="B586" s="51"/>
      <c r="C586" s="51" t="s">
        <v>424</v>
      </c>
      <c r="D586" s="52" t="s">
        <v>3</v>
      </c>
      <c r="E586" s="112">
        <f>0.0164</f>
        <v>1.6400000000000001E-2</v>
      </c>
      <c r="F586" s="53" t="e">
        <f>'NC,M KS'!$P$6</f>
        <v>#REF!</v>
      </c>
      <c r="G586" s="117">
        <v>1.1000000000000001</v>
      </c>
      <c r="H586" s="54" t="e">
        <f>ROUND(E586*F586*G586,5)</f>
        <v>#REF!</v>
      </c>
      <c r="I586" s="114"/>
      <c r="J586" s="110" t="e">
        <f>J577</f>
        <v>#REF!</v>
      </c>
    </row>
    <row r="587" spans="1:10" s="55" customFormat="1" ht="17.100000000000001" customHeight="1">
      <c r="A587" s="295" t="e">
        <f t="shared" si="19"/>
        <v>#REF!</v>
      </c>
      <c r="B587" s="51"/>
      <c r="C587" s="51" t="s">
        <v>124</v>
      </c>
      <c r="D587" s="52" t="s">
        <v>0</v>
      </c>
      <c r="E587" s="112"/>
      <c r="F587" s="53"/>
      <c r="G587" s="117"/>
      <c r="H587" s="56">
        <f>ROUND(SUM(H588:H590),5)</f>
        <v>406.22654999999997</v>
      </c>
      <c r="I587" s="115"/>
      <c r="J587" s="110" t="e">
        <f>J577</f>
        <v>#REF!</v>
      </c>
    </row>
    <row r="588" spans="1:10" s="55" customFormat="1" ht="17.100000000000001" customHeight="1">
      <c r="A588" s="295" t="e">
        <f t="shared" si="19"/>
        <v>#REF!</v>
      </c>
      <c r="B588" s="51"/>
      <c r="C588" s="51" t="s">
        <v>436</v>
      </c>
      <c r="D588" s="52" t="s">
        <v>4</v>
      </c>
      <c r="E588" s="112">
        <f>0.002</f>
        <v>2E-3</v>
      </c>
      <c r="F588" s="53">
        <f>'NC,M KS'!$P$28</f>
        <v>147060</v>
      </c>
      <c r="G588" s="117">
        <v>1.1000000000000001</v>
      </c>
      <c r="H588" s="54">
        <f>ROUND(E588*F588*G588,5)</f>
        <v>323.53199999999998</v>
      </c>
      <c r="I588" s="114"/>
      <c r="J588" s="110" t="e">
        <f>J577</f>
        <v>#REF!</v>
      </c>
    </row>
    <row r="589" spans="1:10" s="55" customFormat="1" ht="17.100000000000001" customHeight="1">
      <c r="A589" s="295" t="e">
        <f t="shared" si="19"/>
        <v>#REF!</v>
      </c>
      <c r="B589" s="51"/>
      <c r="C589" s="51" t="s">
        <v>425</v>
      </c>
      <c r="D589" s="52" t="s">
        <v>4</v>
      </c>
      <c r="E589" s="112">
        <f>0.0039</f>
        <v>3.8999999999999998E-3</v>
      </c>
      <c r="F589" s="53">
        <f>'NC,M KS'!$P$27</f>
        <v>14767</v>
      </c>
      <c r="G589" s="117">
        <v>1.1000000000000001</v>
      </c>
      <c r="H589" s="54">
        <f>ROUND(E589*F589*G589,5)</f>
        <v>63.350430000000003</v>
      </c>
      <c r="I589" s="114"/>
      <c r="J589" s="110" t="e">
        <f>J577</f>
        <v>#REF!</v>
      </c>
    </row>
    <row r="590" spans="1:10" s="55" customFormat="1" ht="17.100000000000001" customHeight="1">
      <c r="A590" s="295" t="e">
        <f t="shared" si="19"/>
        <v>#REF!</v>
      </c>
      <c r="B590" s="51"/>
      <c r="C590" s="51" t="s">
        <v>130</v>
      </c>
      <c r="D590" s="52" t="s">
        <v>126</v>
      </c>
      <c r="E590" s="112">
        <f>5</f>
        <v>5</v>
      </c>
      <c r="F590" s="53"/>
      <c r="G590" s="117"/>
      <c r="H590" s="54">
        <f>ROUND(SUM(H588:H589)*E590/100,5)</f>
        <v>19.34412</v>
      </c>
      <c r="I590" s="114"/>
      <c r="J590" s="110" t="e">
        <f>J577</f>
        <v>#REF!</v>
      </c>
    </row>
    <row r="591" spans="1:10" s="55" customFormat="1" ht="17.100000000000001" customHeight="1">
      <c r="A591" s="295" t="e">
        <f t="shared" si="19"/>
        <v>#REF!</v>
      </c>
      <c r="B591" s="51"/>
      <c r="C591" s="170" t="s">
        <v>556</v>
      </c>
      <c r="D591" s="171" t="s">
        <v>136</v>
      </c>
      <c r="E591" s="172" t="s">
        <v>205</v>
      </c>
      <c r="F591" s="53"/>
      <c r="G591" s="117"/>
      <c r="H591" s="173" t="e">
        <f>ROUND(H578+H584+H587,5)</f>
        <v>#REF!</v>
      </c>
      <c r="I591" s="114"/>
      <c r="J591" s="110" t="e">
        <f>J577</f>
        <v>#REF!</v>
      </c>
    </row>
    <row r="592" spans="1:10" s="55" customFormat="1" ht="17.100000000000001" customHeight="1">
      <c r="A592" s="295" t="e">
        <f t="shared" si="19"/>
        <v>#REF!</v>
      </c>
      <c r="B592" s="51"/>
      <c r="C592" s="170" t="s">
        <v>557</v>
      </c>
      <c r="D592" s="171" t="s">
        <v>204</v>
      </c>
      <c r="E592" s="172" t="s">
        <v>558</v>
      </c>
      <c r="F592" s="53"/>
      <c r="G592" s="117"/>
      <c r="H592" s="173" t="e">
        <f>SUM(H593:H594)</f>
        <v>#REF!</v>
      </c>
      <c r="I592" s="114"/>
      <c r="J592" s="110" t="e">
        <f>J577</f>
        <v>#REF!</v>
      </c>
    </row>
    <row r="593" spans="1:10" s="55" customFormat="1" ht="17.100000000000001" customHeight="1">
      <c r="A593" s="295" t="e">
        <f t="shared" si="19"/>
        <v>#REF!</v>
      </c>
      <c r="B593" s="51"/>
      <c r="C593" s="51" t="s">
        <v>426</v>
      </c>
      <c r="D593" s="52" t="s">
        <v>559</v>
      </c>
      <c r="E593" s="116">
        <f>cpc</f>
        <v>0.7</v>
      </c>
      <c r="F593" s="174"/>
      <c r="G593" s="175"/>
      <c r="H593" s="54" t="e">
        <f>E593*H584</f>
        <v>#REF!</v>
      </c>
      <c r="I593" s="114"/>
      <c r="J593" s="110" t="e">
        <f>J577</f>
        <v>#REF!</v>
      </c>
    </row>
    <row r="594" spans="1:10" s="55" customFormat="1" ht="30">
      <c r="A594" s="295" t="e">
        <f t="shared" si="19"/>
        <v>#REF!</v>
      </c>
      <c r="B594" s="51"/>
      <c r="C594" s="78" t="s">
        <v>560</v>
      </c>
      <c r="D594" s="79" t="s">
        <v>561</v>
      </c>
      <c r="E594" s="176">
        <f>hmc</f>
        <v>0.05</v>
      </c>
      <c r="F594" s="53"/>
      <c r="G594" s="113"/>
      <c r="H594" s="54" t="e">
        <f>E594*H591</f>
        <v>#REF!</v>
      </c>
      <c r="I594" s="114"/>
      <c r="J594" s="110" t="e">
        <f>J577</f>
        <v>#REF!</v>
      </c>
    </row>
    <row r="595" spans="1:10" s="55" customFormat="1" ht="17.100000000000001" customHeight="1">
      <c r="A595" s="295" t="e">
        <f t="shared" si="19"/>
        <v>#REF!</v>
      </c>
      <c r="B595" s="51"/>
      <c r="C595" s="170" t="s">
        <v>562</v>
      </c>
      <c r="D595" s="171" t="s">
        <v>563</v>
      </c>
      <c r="E595" s="179">
        <f>tn</f>
        <v>0.06</v>
      </c>
      <c r="F595" s="177"/>
      <c r="G595" s="178"/>
      <c r="H595" s="181" t="e">
        <f>SUM(H591:H592)*E595</f>
        <v>#REF!</v>
      </c>
      <c r="I595" s="114"/>
      <c r="J595" s="110" t="e">
        <f>J577</f>
        <v>#REF!</v>
      </c>
    </row>
    <row r="596" spans="1:10" s="55" customFormat="1" ht="17.100000000000001" customHeight="1">
      <c r="A596" s="295" t="e">
        <f t="shared" si="19"/>
        <v>#REF!</v>
      </c>
      <c r="B596" s="51"/>
      <c r="C596" s="92" t="s">
        <v>1879</v>
      </c>
      <c r="D596" s="171" t="s">
        <v>227</v>
      </c>
      <c r="E596" s="180" t="s">
        <v>564</v>
      </c>
      <c r="F596" s="174"/>
      <c r="G596" s="175"/>
      <c r="H596" s="173" t="e">
        <f>SUM(H597:H598)</f>
        <v>#REF!</v>
      </c>
      <c r="I596" s="114"/>
      <c r="J596" s="110" t="e">
        <f>J577</f>
        <v>#REF!</v>
      </c>
    </row>
    <row r="597" spans="1:10" s="55" customFormat="1" ht="17.100000000000001" customHeight="1">
      <c r="A597" s="295" t="e">
        <f t="shared" si="19"/>
        <v>#REF!</v>
      </c>
      <c r="B597" s="51"/>
      <c r="C597" s="51" t="s">
        <v>427</v>
      </c>
      <c r="D597" s="52" t="s">
        <v>428</v>
      </c>
      <c r="E597" s="1093">
        <f>paks</f>
        <v>0</v>
      </c>
      <c r="F597" s="174"/>
      <c r="G597" s="175"/>
      <c r="H597" s="54" t="e">
        <f>(H591+H592+H595)*E597</f>
        <v>#REF!</v>
      </c>
      <c r="I597" s="114"/>
      <c r="J597" s="110" t="e">
        <f>J577</f>
        <v>#REF!</v>
      </c>
    </row>
    <row r="598" spans="1:10" s="55" customFormat="1" ht="17.100000000000001" customHeight="1">
      <c r="A598" s="295" t="e">
        <f t="shared" si="19"/>
        <v>#REF!</v>
      </c>
      <c r="B598" s="51"/>
      <c r="C598" s="51" t="s">
        <v>429</v>
      </c>
      <c r="D598" s="52" t="s">
        <v>430</v>
      </c>
      <c r="E598" s="1093">
        <f>bcks</f>
        <v>0.03</v>
      </c>
      <c r="F598" s="53"/>
      <c r="G598" s="113"/>
      <c r="H598" s="54" t="e">
        <f>(H591+H592+H595)*E598</f>
        <v>#REF!</v>
      </c>
      <c r="I598" s="114"/>
      <c r="J598" s="715" t="e">
        <f>J577</f>
        <v>#REF!</v>
      </c>
    </row>
    <row r="599" spans="1:10" s="55" customFormat="1" ht="17.100000000000001" customHeight="1">
      <c r="A599" s="295" t="e">
        <f t="shared" si="19"/>
        <v>#REF!</v>
      </c>
      <c r="B599" s="51"/>
      <c r="C599" s="170" t="s">
        <v>565</v>
      </c>
      <c r="D599" s="171" t="s">
        <v>218</v>
      </c>
      <c r="E599" s="172" t="s">
        <v>566</v>
      </c>
      <c r="F599" s="53"/>
      <c r="G599" s="113"/>
      <c r="H599" s="173" t="e">
        <f>H591+H592+H595+H596</f>
        <v>#REF!</v>
      </c>
      <c r="I599" s="114"/>
      <c r="J599" s="715" t="e">
        <f>J577</f>
        <v>#REF!</v>
      </c>
    </row>
    <row r="600" spans="1:10" s="55" customFormat="1" ht="17.100000000000001" customHeight="1">
      <c r="A600" s="295" t="e">
        <f t="shared" si="19"/>
        <v>#REF!</v>
      </c>
      <c r="B600" s="51"/>
      <c r="C600" s="51" t="s">
        <v>567</v>
      </c>
      <c r="D600" s="52" t="s">
        <v>222</v>
      </c>
      <c r="E600" s="112" t="s">
        <v>1917</v>
      </c>
      <c r="F600" s="174"/>
      <c r="G600" s="175"/>
      <c r="H600" s="54" t="e">
        <f>ROUND(H599*10/100,5)</f>
        <v>#REF!</v>
      </c>
      <c r="I600" s="114"/>
      <c r="J600" s="715" t="e">
        <f>J577</f>
        <v>#REF!</v>
      </c>
    </row>
    <row r="601" spans="1:10" s="55" customFormat="1" ht="17.100000000000001" customHeight="1">
      <c r="A601" s="295" t="e">
        <f t="shared" si="19"/>
        <v>#REF!</v>
      </c>
      <c r="B601" s="51"/>
      <c r="C601" s="170" t="s">
        <v>568</v>
      </c>
      <c r="D601" s="171" t="s">
        <v>225</v>
      </c>
      <c r="E601" s="172" t="s">
        <v>192</v>
      </c>
      <c r="F601" s="53"/>
      <c r="G601" s="117"/>
      <c r="H601" s="56" t="e">
        <f>ROUND(H599+H600,5)</f>
        <v>#REF!</v>
      </c>
      <c r="I601" s="115"/>
      <c r="J601" s="715" t="e">
        <f>J577</f>
        <v>#REF!</v>
      </c>
    </row>
    <row r="602" spans="1:10" s="263" customFormat="1" ht="17.100000000000001" hidden="1" customHeight="1">
      <c r="A602" s="264" t="e">
        <f t="shared" si="19"/>
        <v>#REF!</v>
      </c>
      <c r="B602" s="265" t="s">
        <v>316</v>
      </c>
      <c r="C602" s="265" t="s">
        <v>317</v>
      </c>
      <c r="D602" s="266" t="s">
        <v>310</v>
      </c>
      <c r="E602" s="270"/>
      <c r="F602" s="267"/>
      <c r="G602" s="271"/>
      <c r="H602" s="268" t="e">
        <f>H626</f>
        <v>#REF!</v>
      </c>
      <c r="I602" s="272"/>
      <c r="J602" s="273" t="e">
        <f>IF(SUMIF(Khaosat!$B$6:$B$47,'PT giaKS'!B602,Khaosat!$I$6:$I$47)&lt;&gt;0,$J$6,0)</f>
        <v>#REF!</v>
      </c>
    </row>
    <row r="603" spans="1:10" s="55" customFormat="1" ht="17.100000000000001" hidden="1" customHeight="1">
      <c r="A603" s="50" t="e">
        <f t="shared" si="18"/>
        <v>#REF!</v>
      </c>
      <c r="B603" s="51"/>
      <c r="C603" s="51" t="s">
        <v>128</v>
      </c>
      <c r="D603" s="52" t="s">
        <v>0</v>
      </c>
      <c r="E603" s="112"/>
      <c r="F603" s="53"/>
      <c r="G603" s="117"/>
      <c r="H603" s="56">
        <f>ROUND(SUM(H604:H608),5)</f>
        <v>401.77499999999998</v>
      </c>
      <c r="I603" s="115"/>
      <c r="J603" s="110" t="e">
        <f>J602</f>
        <v>#REF!</v>
      </c>
    </row>
    <row r="604" spans="1:10" s="55" customFormat="1" ht="17.100000000000001" hidden="1" customHeight="1">
      <c r="A604" s="50" t="e">
        <f t="shared" si="18"/>
        <v>#REF!</v>
      </c>
      <c r="B604" s="51"/>
      <c r="C604" s="51" t="s">
        <v>441</v>
      </c>
      <c r="D604" s="52" t="s">
        <v>82</v>
      </c>
      <c r="E604" s="112">
        <f>0.004</f>
        <v>4.0000000000000001E-3</v>
      </c>
      <c r="F604" s="53">
        <f>VLKS!Q41</f>
        <v>16000</v>
      </c>
      <c r="G604" s="117">
        <f>hsvl</f>
        <v>1</v>
      </c>
      <c r="H604" s="54">
        <f>ROUND(E604*F604*G604,5)</f>
        <v>64</v>
      </c>
      <c r="I604" s="114"/>
      <c r="J604" s="110" t="e">
        <f>J602</f>
        <v>#REF!</v>
      </c>
    </row>
    <row r="605" spans="1:10" s="55" customFormat="1" ht="17.100000000000001" hidden="1" customHeight="1">
      <c r="A605" s="50" t="e">
        <f t="shared" si="18"/>
        <v>#REF!</v>
      </c>
      <c r="B605" s="51"/>
      <c r="C605" s="51" t="s">
        <v>431</v>
      </c>
      <c r="D605" s="52" t="s">
        <v>26</v>
      </c>
      <c r="E605" s="112">
        <f>0.02</f>
        <v>0.02</v>
      </c>
      <c r="F605" s="53">
        <f>ROUND(VLKS!Q53/1000,5)</f>
        <v>1200</v>
      </c>
      <c r="G605" s="117">
        <f>hsvl</f>
        <v>1</v>
      </c>
      <c r="H605" s="54">
        <f>ROUND(E605*F605*G605,5)</f>
        <v>24</v>
      </c>
      <c r="I605" s="114"/>
      <c r="J605" s="110" t="e">
        <f>J602</f>
        <v>#REF!</v>
      </c>
    </row>
    <row r="606" spans="1:10" s="55" customFormat="1" ht="17.100000000000001" hidden="1" customHeight="1">
      <c r="A606" s="50" t="e">
        <f t="shared" si="18"/>
        <v>#REF!</v>
      </c>
      <c r="B606" s="51"/>
      <c r="C606" s="51" t="s">
        <v>438</v>
      </c>
      <c r="D606" s="52" t="s">
        <v>82</v>
      </c>
      <c r="E606" s="112">
        <f>0.04</f>
        <v>0.04</v>
      </c>
      <c r="F606" s="53">
        <f>VLKS!Q22</f>
        <v>5000</v>
      </c>
      <c r="G606" s="117">
        <f>hsvl</f>
        <v>1</v>
      </c>
      <c r="H606" s="54">
        <f>ROUND(E606*F606*G606,5)</f>
        <v>200</v>
      </c>
      <c r="I606" s="114"/>
      <c r="J606" s="110" t="e">
        <f>J602</f>
        <v>#REF!</v>
      </c>
    </row>
    <row r="607" spans="1:10" s="55" customFormat="1" ht="17.100000000000001" hidden="1" customHeight="1">
      <c r="A607" s="50" t="e">
        <f t="shared" si="18"/>
        <v>#REF!</v>
      </c>
      <c r="B607" s="51"/>
      <c r="C607" s="51" t="s">
        <v>433</v>
      </c>
      <c r="D607" s="52" t="s">
        <v>26</v>
      </c>
      <c r="E607" s="112">
        <f>0.0015</f>
        <v>1.5E-3</v>
      </c>
      <c r="F607" s="53">
        <f>ROUND(VLKS!Q50/1000,5)</f>
        <v>51500</v>
      </c>
      <c r="G607" s="117">
        <f>hsvl</f>
        <v>1</v>
      </c>
      <c r="H607" s="54">
        <f>ROUND(E607*F607*G607,5)</f>
        <v>77.25</v>
      </c>
      <c r="I607" s="114"/>
      <c r="J607" s="110" t="e">
        <f>J602</f>
        <v>#REF!</v>
      </c>
    </row>
    <row r="608" spans="1:10" s="55" customFormat="1" ht="17.100000000000001" hidden="1" customHeight="1">
      <c r="A608" s="50" t="e">
        <f t="shared" si="18"/>
        <v>#REF!</v>
      </c>
      <c r="B608" s="51"/>
      <c r="C608" s="51" t="s">
        <v>127</v>
      </c>
      <c r="D608" s="52" t="s">
        <v>126</v>
      </c>
      <c r="E608" s="112">
        <f>10</f>
        <v>10</v>
      </c>
      <c r="F608" s="53"/>
      <c r="G608" s="117"/>
      <c r="H608" s="54">
        <f>ROUND(SUM(H604:H607)*E608/100,5)</f>
        <v>36.524999999999999</v>
      </c>
      <c r="I608" s="114"/>
      <c r="J608" s="110" t="e">
        <f>J602</f>
        <v>#REF!</v>
      </c>
    </row>
    <row r="609" spans="1:10" s="55" customFormat="1" ht="17.100000000000001" hidden="1" customHeight="1">
      <c r="A609" s="50" t="e">
        <f t="shared" si="18"/>
        <v>#REF!</v>
      </c>
      <c r="B609" s="51"/>
      <c r="C609" s="51" t="s">
        <v>125</v>
      </c>
      <c r="D609" s="52" t="s">
        <v>0</v>
      </c>
      <c r="E609" s="112"/>
      <c r="F609" s="53"/>
      <c r="G609" s="117"/>
      <c r="H609" s="56" t="e">
        <f>ROUND(SUM(H610:H611),5)</f>
        <v>#REF!</v>
      </c>
      <c r="I609" s="115"/>
      <c r="J609" s="110" t="e">
        <f>J602</f>
        <v>#REF!</v>
      </c>
    </row>
    <row r="610" spans="1:10" s="55" customFormat="1" ht="17.100000000000001" hidden="1" customHeight="1">
      <c r="A610" s="50" t="e">
        <f t="shared" ref="A610:A673" si="20">IF(B610&lt;&gt;0,A609+J610,A609)</f>
        <v>#REF!</v>
      </c>
      <c r="B610" s="51"/>
      <c r="C610" s="51" t="s">
        <v>423</v>
      </c>
      <c r="D610" s="52" t="s">
        <v>3</v>
      </c>
      <c r="E610" s="112">
        <f>0.0132</f>
        <v>1.32E-2</v>
      </c>
      <c r="F610" s="53" t="e">
        <f>'NC,M KS'!P4</f>
        <v>#REF!</v>
      </c>
      <c r="G610" s="117">
        <f>hsnc</f>
        <v>1</v>
      </c>
      <c r="H610" s="54" t="e">
        <f>ROUND(E610*F610*G610,5)</f>
        <v>#REF!</v>
      </c>
      <c r="I610" s="114"/>
      <c r="J610" s="110" t="e">
        <f>J602</f>
        <v>#REF!</v>
      </c>
    </row>
    <row r="611" spans="1:10" s="55" customFormat="1" ht="17.100000000000001" hidden="1" customHeight="1">
      <c r="A611" s="50" t="e">
        <f t="shared" si="20"/>
        <v>#REF!</v>
      </c>
      <c r="B611" s="51"/>
      <c r="C611" s="51" t="s">
        <v>424</v>
      </c>
      <c r="D611" s="52" t="s">
        <v>3</v>
      </c>
      <c r="E611" s="112">
        <f>0.0215</f>
        <v>2.1499999999999998E-2</v>
      </c>
      <c r="F611" s="53" t="e">
        <f>'NC,M KS'!P6</f>
        <v>#REF!</v>
      </c>
      <c r="G611" s="117">
        <f>hsnc</f>
        <v>1</v>
      </c>
      <c r="H611" s="54" t="e">
        <f>ROUND(E611*F611*G611,5)</f>
        <v>#REF!</v>
      </c>
      <c r="I611" s="114"/>
      <c r="J611" s="110" t="e">
        <f>J602</f>
        <v>#REF!</v>
      </c>
    </row>
    <row r="612" spans="1:10" s="55" customFormat="1" ht="17.100000000000001" hidden="1" customHeight="1">
      <c r="A612" s="50" t="e">
        <f t="shared" si="20"/>
        <v>#REF!</v>
      </c>
      <c r="B612" s="51"/>
      <c r="C612" s="51" t="s">
        <v>124</v>
      </c>
      <c r="D612" s="52" t="s">
        <v>0</v>
      </c>
      <c r="E612" s="112"/>
      <c r="F612" s="53"/>
      <c r="G612" s="117"/>
      <c r="H612" s="56">
        <f>ROUND(SUM(H613:H615),5)</f>
        <v>502.19452999999999</v>
      </c>
      <c r="I612" s="115"/>
      <c r="J612" s="110" t="e">
        <f>J602</f>
        <v>#REF!</v>
      </c>
    </row>
    <row r="613" spans="1:10" s="55" customFormat="1" ht="17.100000000000001" hidden="1" customHeight="1">
      <c r="A613" s="50" t="e">
        <f t="shared" si="20"/>
        <v>#REF!</v>
      </c>
      <c r="B613" s="51"/>
      <c r="C613" s="51" t="s">
        <v>436</v>
      </c>
      <c r="D613" s="52" t="s">
        <v>4</v>
      </c>
      <c r="E613" s="112">
        <f>0.0027</f>
        <v>2.7000000000000001E-3</v>
      </c>
      <c r="F613" s="53">
        <f>'NC,M KS'!P28</f>
        <v>147060</v>
      </c>
      <c r="G613" s="117">
        <f>hsm</f>
        <v>1</v>
      </c>
      <c r="H613" s="54">
        <f>ROUND(E613*F613*G613,5)</f>
        <v>397.06200000000001</v>
      </c>
      <c r="I613" s="114"/>
      <c r="J613" s="110" t="e">
        <f>J602</f>
        <v>#REF!</v>
      </c>
    </row>
    <row r="614" spans="1:10" s="55" customFormat="1" ht="17.100000000000001" hidden="1" customHeight="1">
      <c r="A614" s="50" t="e">
        <f t="shared" si="20"/>
        <v>#REF!</v>
      </c>
      <c r="B614" s="51"/>
      <c r="C614" s="51" t="s">
        <v>425</v>
      </c>
      <c r="D614" s="52" t="s">
        <v>4</v>
      </c>
      <c r="E614" s="112">
        <f>0.0055</f>
        <v>5.4999999999999997E-3</v>
      </c>
      <c r="F614" s="53">
        <f>'NC,M KS'!P27</f>
        <v>14767</v>
      </c>
      <c r="G614" s="117">
        <f>hsm</f>
        <v>1</v>
      </c>
      <c r="H614" s="54">
        <f>ROUND(E614*F614*G614,5)</f>
        <v>81.218500000000006</v>
      </c>
      <c r="I614" s="114"/>
      <c r="J614" s="110" t="e">
        <f>J602</f>
        <v>#REF!</v>
      </c>
    </row>
    <row r="615" spans="1:10" s="55" customFormat="1" ht="17.100000000000001" hidden="1" customHeight="1">
      <c r="A615" s="50" t="e">
        <f t="shared" si="20"/>
        <v>#REF!</v>
      </c>
      <c r="B615" s="51"/>
      <c r="C615" s="51" t="s">
        <v>130</v>
      </c>
      <c r="D615" s="52" t="s">
        <v>126</v>
      </c>
      <c r="E615" s="112">
        <f>5</f>
        <v>5</v>
      </c>
      <c r="F615" s="53"/>
      <c r="G615" s="117"/>
      <c r="H615" s="54">
        <f>ROUND(SUM(H613:H614)*E615/100,5)</f>
        <v>23.91403</v>
      </c>
      <c r="I615" s="114"/>
      <c r="J615" s="110" t="e">
        <f>J602</f>
        <v>#REF!</v>
      </c>
    </row>
    <row r="616" spans="1:10" s="55" customFormat="1" ht="17.100000000000001" hidden="1" customHeight="1">
      <c r="A616" s="50" t="e">
        <f t="shared" si="20"/>
        <v>#REF!</v>
      </c>
      <c r="B616" s="51"/>
      <c r="C616" s="170" t="s">
        <v>556</v>
      </c>
      <c r="D616" s="171" t="s">
        <v>136</v>
      </c>
      <c r="E616" s="172" t="s">
        <v>205</v>
      </c>
      <c r="F616" s="53"/>
      <c r="G616" s="117"/>
      <c r="H616" s="173" t="e">
        <f>ROUND(H603+H609+H612,5)</f>
        <v>#REF!</v>
      </c>
      <c r="I616" s="114"/>
      <c r="J616" s="110" t="e">
        <f>J602</f>
        <v>#REF!</v>
      </c>
    </row>
    <row r="617" spans="1:10" s="55" customFormat="1" ht="17.100000000000001" hidden="1" customHeight="1">
      <c r="A617" s="50" t="e">
        <f t="shared" si="20"/>
        <v>#REF!</v>
      </c>
      <c r="B617" s="51"/>
      <c r="C617" s="170" t="s">
        <v>557</v>
      </c>
      <c r="D617" s="171" t="s">
        <v>204</v>
      </c>
      <c r="E617" s="172" t="s">
        <v>558</v>
      </c>
      <c r="F617" s="53"/>
      <c r="G617" s="117"/>
      <c r="H617" s="173" t="e">
        <f>SUM(H618:H619)</f>
        <v>#REF!</v>
      </c>
      <c r="I617" s="114"/>
      <c r="J617" s="110" t="e">
        <f>J602</f>
        <v>#REF!</v>
      </c>
    </row>
    <row r="618" spans="1:10" s="55" customFormat="1" ht="17.100000000000001" hidden="1" customHeight="1">
      <c r="A618" s="50" t="e">
        <f t="shared" si="20"/>
        <v>#REF!</v>
      </c>
      <c r="B618" s="51"/>
      <c r="C618" s="51" t="s">
        <v>426</v>
      </c>
      <c r="D618" s="52" t="s">
        <v>559</v>
      </c>
      <c r="E618" s="116">
        <f>cpc</f>
        <v>0.7</v>
      </c>
      <c r="F618" s="174"/>
      <c r="G618" s="175"/>
      <c r="H618" s="54" t="e">
        <f>E618*H609</f>
        <v>#REF!</v>
      </c>
      <c r="I618" s="114"/>
      <c r="J618" s="110" t="e">
        <f>J602</f>
        <v>#REF!</v>
      </c>
    </row>
    <row r="619" spans="1:10" s="55" customFormat="1" ht="17.100000000000001" hidden="1" customHeight="1">
      <c r="A619" s="50" t="e">
        <f t="shared" si="20"/>
        <v>#REF!</v>
      </c>
      <c r="B619" s="51"/>
      <c r="C619" s="78" t="s">
        <v>560</v>
      </c>
      <c r="D619" s="79" t="s">
        <v>561</v>
      </c>
      <c r="E619" s="176">
        <f>hmc</f>
        <v>0.05</v>
      </c>
      <c r="F619" s="53"/>
      <c r="G619" s="113"/>
      <c r="H619" s="54" t="e">
        <f>E619*H616</f>
        <v>#REF!</v>
      </c>
      <c r="I619" s="114"/>
      <c r="J619" s="110" t="e">
        <f>J602</f>
        <v>#REF!</v>
      </c>
    </row>
    <row r="620" spans="1:10" s="55" customFormat="1" ht="17.100000000000001" hidden="1" customHeight="1">
      <c r="A620" s="50" t="e">
        <f t="shared" si="20"/>
        <v>#REF!</v>
      </c>
      <c r="B620" s="51"/>
      <c r="C620" s="170" t="s">
        <v>562</v>
      </c>
      <c r="D620" s="171" t="s">
        <v>563</v>
      </c>
      <c r="E620" s="179">
        <f>tn</f>
        <v>0.06</v>
      </c>
      <c r="F620" s="177"/>
      <c r="G620" s="178"/>
      <c r="H620" s="181" t="e">
        <f>SUM(H616:H617)*E620</f>
        <v>#REF!</v>
      </c>
      <c r="I620" s="114"/>
      <c r="J620" s="110" t="e">
        <f>J602</f>
        <v>#REF!</v>
      </c>
    </row>
    <row r="621" spans="1:10" s="55" customFormat="1" ht="17.100000000000001" hidden="1" customHeight="1">
      <c r="A621" s="50" t="e">
        <f t="shared" si="20"/>
        <v>#REF!</v>
      </c>
      <c r="B621" s="51"/>
      <c r="C621" s="92" t="s">
        <v>1879</v>
      </c>
      <c r="D621" s="171" t="s">
        <v>227</v>
      </c>
      <c r="E621" s="180" t="s">
        <v>564</v>
      </c>
      <c r="F621" s="174"/>
      <c r="G621" s="175"/>
      <c r="H621" s="173" t="e">
        <f>SUM(H622:H623)</f>
        <v>#REF!</v>
      </c>
      <c r="I621" s="114"/>
      <c r="J621" s="110" t="e">
        <f>J602</f>
        <v>#REF!</v>
      </c>
    </row>
    <row r="622" spans="1:10" s="55" customFormat="1" ht="17.100000000000001" hidden="1" customHeight="1">
      <c r="A622" s="50" t="e">
        <f t="shared" si="20"/>
        <v>#REF!</v>
      </c>
      <c r="B622" s="51"/>
      <c r="C622" s="51" t="s">
        <v>427</v>
      </c>
      <c r="D622" s="52" t="s">
        <v>428</v>
      </c>
      <c r="E622" s="1093">
        <f>paks</f>
        <v>0</v>
      </c>
      <c r="F622" s="174"/>
      <c r="G622" s="175"/>
      <c r="H622" s="54" t="e">
        <f>(H616+H617+H620)*E622</f>
        <v>#REF!</v>
      </c>
      <c r="I622" s="114"/>
      <c r="J622" s="110" t="e">
        <f>J602</f>
        <v>#REF!</v>
      </c>
    </row>
    <row r="623" spans="1:10" s="55" customFormat="1" ht="17.100000000000001" hidden="1" customHeight="1">
      <c r="A623" s="50" t="e">
        <f t="shared" si="20"/>
        <v>#REF!</v>
      </c>
      <c r="B623" s="51"/>
      <c r="C623" s="51" t="s">
        <v>429</v>
      </c>
      <c r="D623" s="52" t="s">
        <v>430</v>
      </c>
      <c r="E623" s="1093">
        <f>bcks</f>
        <v>0.03</v>
      </c>
      <c r="F623" s="53"/>
      <c r="G623" s="113"/>
      <c r="H623" s="54" t="e">
        <f>(H616+H617+H620)*E623</f>
        <v>#REF!</v>
      </c>
      <c r="I623" s="114"/>
      <c r="J623" s="715" t="e">
        <f>J602</f>
        <v>#REF!</v>
      </c>
    </row>
    <row r="624" spans="1:10" s="55" customFormat="1" ht="17.100000000000001" hidden="1" customHeight="1">
      <c r="A624" s="50" t="e">
        <f t="shared" si="20"/>
        <v>#REF!</v>
      </c>
      <c r="B624" s="51"/>
      <c r="C624" s="170" t="s">
        <v>565</v>
      </c>
      <c r="D624" s="171" t="s">
        <v>218</v>
      </c>
      <c r="E624" s="172" t="s">
        <v>566</v>
      </c>
      <c r="F624" s="53"/>
      <c r="G624" s="113"/>
      <c r="H624" s="173" t="e">
        <f>H616+H617+H620+H621</f>
        <v>#REF!</v>
      </c>
      <c r="I624" s="114"/>
      <c r="J624" s="715" t="e">
        <f>J602</f>
        <v>#REF!</v>
      </c>
    </row>
    <row r="625" spans="1:10" s="55" customFormat="1" ht="17.100000000000001" hidden="1" customHeight="1">
      <c r="A625" s="50" t="e">
        <f t="shared" si="20"/>
        <v>#REF!</v>
      </c>
      <c r="B625" s="51"/>
      <c r="C625" s="51" t="s">
        <v>567</v>
      </c>
      <c r="D625" s="52" t="s">
        <v>222</v>
      </c>
      <c r="E625" s="112" t="s">
        <v>1917</v>
      </c>
      <c r="F625" s="174"/>
      <c r="G625" s="175"/>
      <c r="H625" s="54" t="e">
        <f>ROUND(H624*10/100,5)</f>
        <v>#REF!</v>
      </c>
      <c r="I625" s="114"/>
      <c r="J625" s="715" t="e">
        <f>J602</f>
        <v>#REF!</v>
      </c>
    </row>
    <row r="626" spans="1:10" s="55" customFormat="1" ht="17.100000000000001" hidden="1" customHeight="1">
      <c r="A626" s="50" t="e">
        <f t="shared" si="20"/>
        <v>#REF!</v>
      </c>
      <c r="B626" s="51"/>
      <c r="C626" s="170" t="s">
        <v>568</v>
      </c>
      <c r="D626" s="171" t="s">
        <v>225</v>
      </c>
      <c r="E626" s="172" t="s">
        <v>192</v>
      </c>
      <c r="F626" s="53"/>
      <c r="G626" s="117"/>
      <c r="H626" s="56" t="e">
        <f>ROUND(H624+H625,5)</f>
        <v>#REF!</v>
      </c>
      <c r="I626" s="115"/>
      <c r="J626" s="715" t="e">
        <f>J602</f>
        <v>#REF!</v>
      </c>
    </row>
    <row r="627" spans="1:10" s="263" customFormat="1" ht="17.100000000000001" hidden="1" customHeight="1">
      <c r="A627" s="264" t="e">
        <f t="shared" si="20"/>
        <v>#REF!</v>
      </c>
      <c r="B627" s="265" t="s">
        <v>311</v>
      </c>
      <c r="C627" s="265" t="s">
        <v>555</v>
      </c>
      <c r="D627" s="266" t="s">
        <v>1769</v>
      </c>
      <c r="E627" s="270"/>
      <c r="F627" s="267"/>
      <c r="G627" s="271"/>
      <c r="H627" s="268" t="e">
        <f>H649</f>
        <v>#REF!</v>
      </c>
      <c r="I627" s="272"/>
      <c r="J627" s="273">
        <f>IF(SUMIF(Khaosat!$B$6:$B$47,'PT giaKS'!B627,Khaosat!$I$6:$I$47)&lt;&gt;0,$J$6,0)</f>
        <v>0</v>
      </c>
    </row>
    <row r="628" spans="1:10" s="55" customFormat="1" ht="17.100000000000001" hidden="1" customHeight="1">
      <c r="A628" s="295" t="e">
        <f t="shared" si="20"/>
        <v>#REF!</v>
      </c>
      <c r="B628" s="51"/>
      <c r="C628" s="51" t="s">
        <v>128</v>
      </c>
      <c r="D628" s="52" t="s">
        <v>0</v>
      </c>
      <c r="E628" s="112"/>
      <c r="F628" s="53"/>
      <c r="G628" s="117"/>
      <c r="H628" s="56">
        <f>ROUND(SUM(H629:H631),5)</f>
        <v>42465.5</v>
      </c>
      <c r="I628" s="115"/>
      <c r="J628" s="110">
        <f>J627</f>
        <v>0</v>
      </c>
    </row>
    <row r="629" spans="1:10" s="55" customFormat="1" ht="17.100000000000001" hidden="1" customHeight="1">
      <c r="A629" s="295" t="e">
        <f t="shared" si="20"/>
        <v>#REF!</v>
      </c>
      <c r="B629" s="51"/>
      <c r="C629" s="51" t="s">
        <v>438</v>
      </c>
      <c r="D629" s="52" t="s">
        <v>82</v>
      </c>
      <c r="E629" s="112">
        <f>0.07*100</f>
        <v>7.0000000000000009</v>
      </c>
      <c r="F629" s="53">
        <f>VLKS!Q22</f>
        <v>5000</v>
      </c>
      <c r="G629" s="117">
        <f>hsvl</f>
        <v>1</v>
      </c>
      <c r="H629" s="54">
        <f>ROUND(E629*F629*G629,5)</f>
        <v>35000</v>
      </c>
      <c r="I629" s="114"/>
      <c r="J629" s="110">
        <f>J627</f>
        <v>0</v>
      </c>
    </row>
    <row r="630" spans="1:10" s="55" customFormat="1" ht="17.100000000000001" hidden="1" customHeight="1">
      <c r="A630" s="295" t="e">
        <f t="shared" si="20"/>
        <v>#REF!</v>
      </c>
      <c r="B630" s="51"/>
      <c r="C630" s="51" t="s">
        <v>433</v>
      </c>
      <c r="D630" s="52" t="s">
        <v>26</v>
      </c>
      <c r="E630" s="112">
        <f>0.0007*100</f>
        <v>6.9999999999999993E-2</v>
      </c>
      <c r="F630" s="53">
        <f>ROUND(VLKS!Q50/1000,5)</f>
        <v>51500</v>
      </c>
      <c r="G630" s="117">
        <f>hsvl</f>
        <v>1</v>
      </c>
      <c r="H630" s="54">
        <f>ROUND(E630*F630*G630,5)</f>
        <v>3605</v>
      </c>
      <c r="I630" s="114"/>
      <c r="J630" s="110">
        <f>J627</f>
        <v>0</v>
      </c>
    </row>
    <row r="631" spans="1:10" s="55" customFormat="1" ht="17.100000000000001" hidden="1" customHeight="1">
      <c r="A631" s="295" t="e">
        <f t="shared" si="20"/>
        <v>#REF!</v>
      </c>
      <c r="B631" s="51"/>
      <c r="C631" s="51" t="s">
        <v>127</v>
      </c>
      <c r="D631" s="52" t="s">
        <v>126</v>
      </c>
      <c r="E631" s="112">
        <f>10</f>
        <v>10</v>
      </c>
      <c r="F631" s="53"/>
      <c r="G631" s="117"/>
      <c r="H631" s="54">
        <f>ROUND(SUM(H629:H630)*E631/100,5)</f>
        <v>3860.5</v>
      </c>
      <c r="I631" s="114"/>
      <c r="J631" s="110">
        <f>J627</f>
        <v>0</v>
      </c>
    </row>
    <row r="632" spans="1:10" s="55" customFormat="1" ht="17.100000000000001" hidden="1" customHeight="1">
      <c r="A632" s="295" t="e">
        <f t="shared" si="20"/>
        <v>#REF!</v>
      </c>
      <c r="B632" s="51"/>
      <c r="C632" s="51" t="s">
        <v>125</v>
      </c>
      <c r="D632" s="52" t="s">
        <v>0</v>
      </c>
      <c r="E632" s="112"/>
      <c r="F632" s="53"/>
      <c r="G632" s="117"/>
      <c r="H632" s="56" t="e">
        <f>ROUND(SUM(H633:H634),5)</f>
        <v>#REF!</v>
      </c>
      <c r="I632" s="115"/>
      <c r="J632" s="110">
        <f>J627</f>
        <v>0</v>
      </c>
    </row>
    <row r="633" spans="1:10" s="55" customFormat="1" ht="17.100000000000001" hidden="1" customHeight="1">
      <c r="A633" s="295" t="e">
        <f t="shared" si="20"/>
        <v>#REF!</v>
      </c>
      <c r="B633" s="51"/>
      <c r="C633" s="51" t="s">
        <v>423</v>
      </c>
      <c r="D633" s="52" t="s">
        <v>3</v>
      </c>
      <c r="E633" s="112">
        <f>0.0102*100</f>
        <v>1.02</v>
      </c>
      <c r="F633" s="53" t="e">
        <f>'NC,M KS'!P4</f>
        <v>#REF!</v>
      </c>
      <c r="G633" s="117">
        <v>1</v>
      </c>
      <c r="H633" s="54" t="e">
        <f>ROUND(E633*F633*G633,5)</f>
        <v>#REF!</v>
      </c>
      <c r="I633" s="114"/>
      <c r="J633" s="110">
        <f>J627</f>
        <v>0</v>
      </c>
    </row>
    <row r="634" spans="1:10" s="55" customFormat="1" ht="17.100000000000001" hidden="1" customHeight="1">
      <c r="A634" s="295" t="e">
        <f t="shared" si="20"/>
        <v>#REF!</v>
      </c>
      <c r="B634" s="51"/>
      <c r="C634" s="51" t="s">
        <v>424</v>
      </c>
      <c r="D634" s="52" t="s">
        <v>3</v>
      </c>
      <c r="E634" s="112">
        <f>0.0144*100</f>
        <v>1.44</v>
      </c>
      <c r="F634" s="53" t="e">
        <f>'NC,M KS'!P6</f>
        <v>#REF!</v>
      </c>
      <c r="G634" s="117">
        <v>1</v>
      </c>
      <c r="H634" s="54" t="e">
        <f>ROUND(E634*F634*G634,5)</f>
        <v>#REF!</v>
      </c>
      <c r="I634" s="114"/>
      <c r="J634" s="110">
        <f>J627</f>
        <v>0</v>
      </c>
    </row>
    <row r="635" spans="1:10" s="55" customFormat="1" ht="17.100000000000001" hidden="1" customHeight="1">
      <c r="A635" s="295" t="e">
        <f t="shared" si="20"/>
        <v>#REF!</v>
      </c>
      <c r="B635" s="51"/>
      <c r="C635" s="51" t="s">
        <v>124</v>
      </c>
      <c r="D635" s="52" t="s">
        <v>0</v>
      </c>
      <c r="E635" s="112"/>
      <c r="F635" s="53"/>
      <c r="G635" s="117"/>
      <c r="H635" s="56">
        <f>ROUND(SUM(H636:H638),5)</f>
        <v>32743.241999999998</v>
      </c>
      <c r="I635" s="115"/>
      <c r="J635" s="110">
        <f>J627</f>
        <v>0</v>
      </c>
    </row>
    <row r="636" spans="1:10" s="55" customFormat="1" ht="17.100000000000001" hidden="1" customHeight="1">
      <c r="A636" s="295" t="e">
        <f t="shared" si="20"/>
        <v>#REF!</v>
      </c>
      <c r="B636" s="51"/>
      <c r="C636" s="51" t="s">
        <v>436</v>
      </c>
      <c r="D636" s="52" t="s">
        <v>4</v>
      </c>
      <c r="E636" s="112">
        <f>0.002*100</f>
        <v>0.2</v>
      </c>
      <c r="F636" s="53">
        <f>'NC,M KS'!P28</f>
        <v>147060</v>
      </c>
      <c r="G636" s="117">
        <v>1</v>
      </c>
      <c r="H636" s="54">
        <f>ROUND(E636*F636*G636,5)</f>
        <v>29412</v>
      </c>
      <c r="I636" s="114"/>
      <c r="J636" s="110">
        <f>J627</f>
        <v>0</v>
      </c>
    </row>
    <row r="637" spans="1:10" s="55" customFormat="1" ht="17.100000000000001" hidden="1" customHeight="1">
      <c r="A637" s="295" t="e">
        <f t="shared" si="20"/>
        <v>#REF!</v>
      </c>
      <c r="B637" s="51"/>
      <c r="C637" s="51" t="s">
        <v>425</v>
      </c>
      <c r="D637" s="52" t="s">
        <v>4</v>
      </c>
      <c r="E637" s="112">
        <f>0.0012*100</f>
        <v>0.12</v>
      </c>
      <c r="F637" s="53">
        <f>'NC,M KS'!P27</f>
        <v>14767</v>
      </c>
      <c r="G637" s="117">
        <v>1</v>
      </c>
      <c r="H637" s="54">
        <f>ROUND(E637*F637*G637,5)</f>
        <v>1772.04</v>
      </c>
      <c r="I637" s="114"/>
      <c r="J637" s="110">
        <f>J627</f>
        <v>0</v>
      </c>
    </row>
    <row r="638" spans="1:10" s="55" customFormat="1" ht="17.100000000000001" hidden="1" customHeight="1">
      <c r="A638" s="295" t="e">
        <f t="shared" si="20"/>
        <v>#REF!</v>
      </c>
      <c r="B638" s="51"/>
      <c r="C638" s="51" t="s">
        <v>130</v>
      </c>
      <c r="D638" s="52" t="s">
        <v>126</v>
      </c>
      <c r="E638" s="112">
        <f>5</f>
        <v>5</v>
      </c>
      <c r="F638" s="53"/>
      <c r="G638" s="117"/>
      <c r="H638" s="54">
        <f>ROUND(SUM(H636:H637)*E638/100,5)</f>
        <v>1559.202</v>
      </c>
      <c r="I638" s="114"/>
      <c r="J638" s="110">
        <f>J627</f>
        <v>0</v>
      </c>
    </row>
    <row r="639" spans="1:10" s="55" customFormat="1" ht="17.100000000000001" hidden="1" customHeight="1">
      <c r="A639" s="295" t="e">
        <f t="shared" si="20"/>
        <v>#REF!</v>
      </c>
      <c r="B639" s="51"/>
      <c r="C639" s="170" t="s">
        <v>556</v>
      </c>
      <c r="D639" s="171" t="s">
        <v>136</v>
      </c>
      <c r="E639" s="172" t="s">
        <v>205</v>
      </c>
      <c r="F639" s="53"/>
      <c r="G639" s="117"/>
      <c r="H639" s="173" t="e">
        <f>ROUND(H628+H632+H635,5)</f>
        <v>#REF!</v>
      </c>
      <c r="I639" s="114"/>
      <c r="J639" s="110">
        <f>J627</f>
        <v>0</v>
      </c>
    </row>
    <row r="640" spans="1:10" s="55" customFormat="1" ht="17.100000000000001" hidden="1" customHeight="1">
      <c r="A640" s="295" t="e">
        <f t="shared" si="20"/>
        <v>#REF!</v>
      </c>
      <c r="B640" s="51"/>
      <c r="C640" s="170" t="s">
        <v>557</v>
      </c>
      <c r="D640" s="171" t="s">
        <v>204</v>
      </c>
      <c r="E640" s="172" t="s">
        <v>558</v>
      </c>
      <c r="F640" s="53"/>
      <c r="G640" s="117"/>
      <c r="H640" s="173" t="e">
        <f>SUM(H641:H642)</f>
        <v>#REF!</v>
      </c>
      <c r="I640" s="114"/>
      <c r="J640" s="110">
        <f>J627</f>
        <v>0</v>
      </c>
    </row>
    <row r="641" spans="1:10" s="55" customFormat="1" ht="17.100000000000001" hidden="1" customHeight="1">
      <c r="A641" s="295" t="e">
        <f t="shared" si="20"/>
        <v>#REF!</v>
      </c>
      <c r="B641" s="51"/>
      <c r="C641" s="51" t="s">
        <v>426</v>
      </c>
      <c r="D641" s="52" t="s">
        <v>559</v>
      </c>
      <c r="E641" s="116">
        <f>cpc</f>
        <v>0.7</v>
      </c>
      <c r="F641" s="174"/>
      <c r="G641" s="175"/>
      <c r="H641" s="54" t="e">
        <f>E641*H632</f>
        <v>#REF!</v>
      </c>
      <c r="I641" s="114"/>
      <c r="J641" s="110">
        <f>J627</f>
        <v>0</v>
      </c>
    </row>
    <row r="642" spans="1:10" s="55" customFormat="1" ht="30" hidden="1">
      <c r="A642" s="295" t="e">
        <f t="shared" si="20"/>
        <v>#REF!</v>
      </c>
      <c r="B642" s="51"/>
      <c r="C642" s="78" t="s">
        <v>560</v>
      </c>
      <c r="D642" s="79" t="s">
        <v>561</v>
      </c>
      <c r="E642" s="176">
        <f>hmc</f>
        <v>0.05</v>
      </c>
      <c r="F642" s="53"/>
      <c r="G642" s="113"/>
      <c r="H642" s="54" t="e">
        <f>E642*H639</f>
        <v>#REF!</v>
      </c>
      <c r="I642" s="114"/>
      <c r="J642" s="110">
        <f>J627</f>
        <v>0</v>
      </c>
    </row>
    <row r="643" spans="1:10" s="55" customFormat="1" ht="17.100000000000001" hidden="1" customHeight="1">
      <c r="A643" s="295" t="e">
        <f t="shared" si="20"/>
        <v>#REF!</v>
      </c>
      <c r="B643" s="51"/>
      <c r="C643" s="170" t="s">
        <v>562</v>
      </c>
      <c r="D643" s="171" t="s">
        <v>563</v>
      </c>
      <c r="E643" s="179">
        <f>tn</f>
        <v>0.06</v>
      </c>
      <c r="F643" s="177"/>
      <c r="G643" s="178"/>
      <c r="H643" s="181" t="e">
        <f>SUM(H639:H640)*E643</f>
        <v>#REF!</v>
      </c>
      <c r="I643" s="114"/>
      <c r="J643" s="110">
        <f>J627</f>
        <v>0</v>
      </c>
    </row>
    <row r="644" spans="1:10" s="55" customFormat="1" ht="17.100000000000001" hidden="1" customHeight="1">
      <c r="A644" s="295" t="e">
        <f t="shared" si="20"/>
        <v>#REF!</v>
      </c>
      <c r="B644" s="51"/>
      <c r="C644" s="92" t="s">
        <v>1879</v>
      </c>
      <c r="D644" s="171" t="s">
        <v>227</v>
      </c>
      <c r="E644" s="180" t="s">
        <v>564</v>
      </c>
      <c r="F644" s="174"/>
      <c r="G644" s="175"/>
      <c r="H644" s="173" t="e">
        <f>SUM(H645:H646)</f>
        <v>#REF!</v>
      </c>
      <c r="I644" s="114"/>
      <c r="J644" s="110">
        <f>J627</f>
        <v>0</v>
      </c>
    </row>
    <row r="645" spans="1:10" s="55" customFormat="1" ht="17.100000000000001" hidden="1" customHeight="1">
      <c r="A645" s="295" t="e">
        <f t="shared" si="20"/>
        <v>#REF!</v>
      </c>
      <c r="B645" s="51"/>
      <c r="C645" s="51" t="s">
        <v>427</v>
      </c>
      <c r="D645" s="52" t="s">
        <v>428</v>
      </c>
      <c r="E645" s="1093">
        <f>paks</f>
        <v>0</v>
      </c>
      <c r="F645" s="174"/>
      <c r="G645" s="175"/>
      <c r="H645" s="54" t="e">
        <f>(H639+H640+H643)*E645</f>
        <v>#REF!</v>
      </c>
      <c r="I645" s="114"/>
      <c r="J645" s="110">
        <f>J627</f>
        <v>0</v>
      </c>
    </row>
    <row r="646" spans="1:10" s="55" customFormat="1" ht="17.100000000000001" hidden="1" customHeight="1">
      <c r="A646" s="295" t="e">
        <f t="shared" si="20"/>
        <v>#REF!</v>
      </c>
      <c r="B646" s="51"/>
      <c r="C646" s="51" t="s">
        <v>429</v>
      </c>
      <c r="D646" s="52" t="s">
        <v>430</v>
      </c>
      <c r="E646" s="1097">
        <f>bcks</f>
        <v>0.03</v>
      </c>
      <c r="F646" s="53"/>
      <c r="G646" s="113"/>
      <c r="H646" s="54" t="e">
        <f>(H639+H640+H643)*E646</f>
        <v>#REF!</v>
      </c>
      <c r="I646" s="114"/>
      <c r="J646" s="110">
        <f>J627</f>
        <v>0</v>
      </c>
    </row>
    <row r="647" spans="1:10" s="55" customFormat="1" ht="17.100000000000001" hidden="1" customHeight="1">
      <c r="A647" s="295" t="e">
        <f t="shared" si="20"/>
        <v>#REF!</v>
      </c>
      <c r="B647" s="51"/>
      <c r="C647" s="170" t="s">
        <v>565</v>
      </c>
      <c r="D647" s="171" t="s">
        <v>218</v>
      </c>
      <c r="E647" s="172" t="s">
        <v>566</v>
      </c>
      <c r="F647" s="53"/>
      <c r="G647" s="113"/>
      <c r="H647" s="173" t="e">
        <f>H639+H640+H643+H644</f>
        <v>#REF!</v>
      </c>
      <c r="I647" s="114"/>
      <c r="J647" s="110">
        <f>J627</f>
        <v>0</v>
      </c>
    </row>
    <row r="648" spans="1:10" s="55" customFormat="1" ht="17.100000000000001" hidden="1" customHeight="1">
      <c r="A648" s="295" t="e">
        <f t="shared" si="20"/>
        <v>#REF!</v>
      </c>
      <c r="B648" s="51"/>
      <c r="C648" s="51" t="s">
        <v>567</v>
      </c>
      <c r="D648" s="52" t="s">
        <v>222</v>
      </c>
      <c r="E648" s="112" t="s">
        <v>1917</v>
      </c>
      <c r="F648" s="174"/>
      <c r="G648" s="175"/>
      <c r="H648" s="54" t="e">
        <f>ROUND(H647*10/100,5)</f>
        <v>#REF!</v>
      </c>
      <c r="I648" s="114"/>
      <c r="J648" s="715">
        <f>J627</f>
        <v>0</v>
      </c>
    </row>
    <row r="649" spans="1:10" s="55" customFormat="1" ht="17.100000000000001" hidden="1" customHeight="1">
      <c r="A649" s="295" t="e">
        <f t="shared" si="20"/>
        <v>#REF!</v>
      </c>
      <c r="B649" s="51"/>
      <c r="C649" s="170" t="s">
        <v>568</v>
      </c>
      <c r="D649" s="171" t="s">
        <v>225</v>
      </c>
      <c r="E649" s="172" t="s">
        <v>192</v>
      </c>
      <c r="F649" s="53"/>
      <c r="G649" s="117"/>
      <c r="H649" s="56" t="e">
        <f>ROUND(H647+H648,5)</f>
        <v>#REF!</v>
      </c>
      <c r="I649" s="115"/>
      <c r="J649" s="715">
        <f>J627</f>
        <v>0</v>
      </c>
    </row>
    <row r="650" spans="1:10" s="263" customFormat="1" ht="17.100000000000001" customHeight="1">
      <c r="A650" s="264" t="e">
        <f t="shared" si="20"/>
        <v>#REF!</v>
      </c>
      <c r="B650" s="259" t="s">
        <v>372</v>
      </c>
      <c r="C650" s="259" t="s">
        <v>2006</v>
      </c>
      <c r="D650" s="260" t="s">
        <v>310</v>
      </c>
      <c r="E650" s="274"/>
      <c r="F650" s="261"/>
      <c r="G650" s="275"/>
      <c r="H650" s="262" t="e">
        <f>H672</f>
        <v>#REF!</v>
      </c>
      <c r="I650" s="272"/>
      <c r="J650" s="273" t="e">
        <f>IF(SUMIF(Khaosat!$B$6:$B$47,'PT giaKS'!B650,Khaosat!$I$6:$I$47)&lt;&gt;0,$J$6,0)</f>
        <v>#REF!</v>
      </c>
    </row>
    <row r="651" spans="1:10" s="55" customFormat="1" ht="17.100000000000001" customHeight="1">
      <c r="A651" s="295" t="e">
        <f t="shared" si="20"/>
        <v>#REF!</v>
      </c>
      <c r="B651" s="51"/>
      <c r="C651" s="51" t="s">
        <v>128</v>
      </c>
      <c r="D651" s="52" t="s">
        <v>0</v>
      </c>
      <c r="E651" s="112"/>
      <c r="F651" s="53"/>
      <c r="G651" s="117"/>
      <c r="H651" s="56">
        <f>ROUND(SUM(H652:H654),5)</f>
        <v>485.32</v>
      </c>
      <c r="I651" s="115"/>
      <c r="J651" s="110" t="e">
        <f>J650</f>
        <v>#REF!</v>
      </c>
    </row>
    <row r="652" spans="1:10" s="55" customFormat="1" ht="17.100000000000001" customHeight="1">
      <c r="A652" s="295" t="e">
        <f t="shared" si="20"/>
        <v>#REF!</v>
      </c>
      <c r="B652" s="51"/>
      <c r="C652" s="51" t="s">
        <v>438</v>
      </c>
      <c r="D652" s="52" t="s">
        <v>82</v>
      </c>
      <c r="E652" s="112">
        <f>0.08</f>
        <v>0.08</v>
      </c>
      <c r="F652" s="53">
        <f>VLKS!Q22</f>
        <v>5000</v>
      </c>
      <c r="G652" s="117">
        <f>hsvl</f>
        <v>1</v>
      </c>
      <c r="H652" s="54">
        <f>ROUND(E652*F652*G652,5)</f>
        <v>400</v>
      </c>
      <c r="I652" s="114"/>
      <c r="J652" s="110" t="e">
        <f>J650</f>
        <v>#REF!</v>
      </c>
    </row>
    <row r="653" spans="1:10" s="55" customFormat="1" ht="17.100000000000001" customHeight="1">
      <c r="A653" s="295" t="e">
        <f t="shared" si="20"/>
        <v>#REF!</v>
      </c>
      <c r="B653" s="51"/>
      <c r="C653" s="51" t="s">
        <v>433</v>
      </c>
      <c r="D653" s="52" t="s">
        <v>26</v>
      </c>
      <c r="E653" s="112">
        <f>0.0008</f>
        <v>8.0000000000000004E-4</v>
      </c>
      <c r="F653" s="53">
        <f>ROUND(VLKS!Q50/1000,5)</f>
        <v>51500</v>
      </c>
      <c r="G653" s="117">
        <f>hsvl</f>
        <v>1</v>
      </c>
      <c r="H653" s="54">
        <f>ROUND(E653*F653*G653,5)</f>
        <v>41.2</v>
      </c>
      <c r="I653" s="114"/>
      <c r="J653" s="110" t="e">
        <f>J650</f>
        <v>#REF!</v>
      </c>
    </row>
    <row r="654" spans="1:10" s="55" customFormat="1" ht="17.100000000000001" customHeight="1">
      <c r="A654" s="295" t="e">
        <f t="shared" si="20"/>
        <v>#REF!</v>
      </c>
      <c r="B654" s="51"/>
      <c r="C654" s="51" t="s">
        <v>127</v>
      </c>
      <c r="D654" s="52" t="s">
        <v>126</v>
      </c>
      <c r="E654" s="112">
        <f>10</f>
        <v>10</v>
      </c>
      <c r="F654" s="53"/>
      <c r="G654" s="117"/>
      <c r="H654" s="54">
        <f>ROUND(SUM(H652:H653)*E654/100,5)</f>
        <v>44.12</v>
      </c>
      <c r="I654" s="114"/>
      <c r="J654" s="110" t="e">
        <f>J650</f>
        <v>#REF!</v>
      </c>
    </row>
    <row r="655" spans="1:10" s="55" customFormat="1" ht="17.100000000000001" customHeight="1">
      <c r="A655" s="295" t="e">
        <f t="shared" si="20"/>
        <v>#REF!</v>
      </c>
      <c r="B655" s="51"/>
      <c r="C655" s="51" t="s">
        <v>125</v>
      </c>
      <c r="D655" s="52" t="s">
        <v>0</v>
      </c>
      <c r="E655" s="112"/>
      <c r="F655" s="53"/>
      <c r="G655" s="117"/>
      <c r="H655" s="56" t="e">
        <f>ROUND(SUM(H656:H657),5)</f>
        <v>#REF!</v>
      </c>
      <c r="I655" s="115"/>
      <c r="J655" s="110" t="e">
        <f>J650</f>
        <v>#REF!</v>
      </c>
    </row>
    <row r="656" spans="1:10" s="55" customFormat="1" ht="17.100000000000001" customHeight="1">
      <c r="A656" s="295" t="e">
        <f t="shared" si="20"/>
        <v>#REF!</v>
      </c>
      <c r="B656" s="51"/>
      <c r="C656" s="51" t="s">
        <v>423</v>
      </c>
      <c r="D656" s="52" t="s">
        <v>3</v>
      </c>
      <c r="E656" s="112">
        <f>0.0133</f>
        <v>1.3299999999999999E-2</v>
      </c>
      <c r="F656" s="53" t="e">
        <f>'NC,M KS'!P4</f>
        <v>#REF!</v>
      </c>
      <c r="G656" s="117">
        <f>hsnc</f>
        <v>1</v>
      </c>
      <c r="H656" s="54" t="e">
        <f>ROUND(E656*F656*G656,5)</f>
        <v>#REF!</v>
      </c>
      <c r="I656" s="114"/>
      <c r="J656" s="110" t="e">
        <f>J650</f>
        <v>#REF!</v>
      </c>
    </row>
    <row r="657" spans="1:10" s="55" customFormat="1" ht="17.100000000000001" customHeight="1">
      <c r="A657" s="295" t="e">
        <f t="shared" si="20"/>
        <v>#REF!</v>
      </c>
      <c r="B657" s="51"/>
      <c r="C657" s="51" t="s">
        <v>424</v>
      </c>
      <c r="D657" s="52" t="s">
        <v>3</v>
      </c>
      <c r="E657" s="112">
        <f>0.0188</f>
        <v>1.8800000000000001E-2</v>
      </c>
      <c r="F657" s="53" t="e">
        <f>'NC,M KS'!P6</f>
        <v>#REF!</v>
      </c>
      <c r="G657" s="117">
        <f>hsnc</f>
        <v>1</v>
      </c>
      <c r="H657" s="54" t="e">
        <f>ROUND(E657*F657*G657,5)</f>
        <v>#REF!</v>
      </c>
      <c r="I657" s="114"/>
      <c r="J657" s="110" t="e">
        <f>J650</f>
        <v>#REF!</v>
      </c>
    </row>
    <row r="658" spans="1:10" s="55" customFormat="1" ht="17.100000000000001" customHeight="1">
      <c r="A658" s="295" t="e">
        <f t="shared" si="20"/>
        <v>#REF!</v>
      </c>
      <c r="B658" s="51"/>
      <c r="C658" s="51" t="s">
        <v>124</v>
      </c>
      <c r="D658" s="52" t="s">
        <v>0</v>
      </c>
      <c r="E658" s="112"/>
      <c r="F658" s="53"/>
      <c r="G658" s="117"/>
      <c r="H658" s="56">
        <f>ROUND(SUM(H659:H661),5)</f>
        <v>457.16496000000001</v>
      </c>
      <c r="I658" s="115"/>
      <c r="J658" s="110" t="e">
        <f>J650</f>
        <v>#REF!</v>
      </c>
    </row>
    <row r="659" spans="1:10" s="55" customFormat="1" ht="17.100000000000001" customHeight="1">
      <c r="A659" s="295" t="e">
        <f t="shared" si="20"/>
        <v>#REF!</v>
      </c>
      <c r="B659" s="51"/>
      <c r="C659" s="51" t="s">
        <v>436</v>
      </c>
      <c r="D659" s="52" t="s">
        <v>4</v>
      </c>
      <c r="E659" s="112">
        <f>0.0028</f>
        <v>2.8E-3</v>
      </c>
      <c r="F659" s="53">
        <f>'NC,M KS'!P28</f>
        <v>147060</v>
      </c>
      <c r="G659" s="117">
        <f>hsm</f>
        <v>1</v>
      </c>
      <c r="H659" s="54">
        <f>ROUND(E659*F659*G659,5)</f>
        <v>411.76799999999997</v>
      </c>
      <c r="I659" s="114"/>
      <c r="J659" s="110" t="e">
        <f>J650</f>
        <v>#REF!</v>
      </c>
    </row>
    <row r="660" spans="1:10" s="55" customFormat="1" ht="17.100000000000001" customHeight="1">
      <c r="A660" s="295" t="e">
        <f t="shared" si="20"/>
        <v>#REF!</v>
      </c>
      <c r="B660" s="51"/>
      <c r="C660" s="51" t="s">
        <v>425</v>
      </c>
      <c r="D660" s="52" t="s">
        <v>4</v>
      </c>
      <c r="E660" s="112">
        <f>0.0016</f>
        <v>1.6000000000000001E-3</v>
      </c>
      <c r="F660" s="53">
        <f>'NC,M KS'!P27</f>
        <v>14767</v>
      </c>
      <c r="G660" s="117">
        <f>hsm</f>
        <v>1</v>
      </c>
      <c r="H660" s="54">
        <f>ROUND(E660*F660*G660,5)</f>
        <v>23.627199999999998</v>
      </c>
      <c r="I660" s="114"/>
      <c r="J660" s="110" t="e">
        <f>J650</f>
        <v>#REF!</v>
      </c>
    </row>
    <row r="661" spans="1:10" s="55" customFormat="1" ht="17.100000000000001" customHeight="1">
      <c r="A661" s="295" t="e">
        <f t="shared" si="20"/>
        <v>#REF!</v>
      </c>
      <c r="B661" s="51"/>
      <c r="C661" s="51" t="s">
        <v>130</v>
      </c>
      <c r="D661" s="52" t="s">
        <v>126</v>
      </c>
      <c r="E661" s="112">
        <f>5</f>
        <v>5</v>
      </c>
      <c r="F661" s="53"/>
      <c r="G661" s="117"/>
      <c r="H661" s="54">
        <f>ROUND(SUM(H659:H660)*E661/100,5)</f>
        <v>21.769760000000002</v>
      </c>
      <c r="I661" s="114"/>
      <c r="J661" s="110" t="e">
        <f>J650</f>
        <v>#REF!</v>
      </c>
    </row>
    <row r="662" spans="1:10" s="55" customFormat="1" ht="17.100000000000001" customHeight="1">
      <c r="A662" s="295" t="e">
        <f t="shared" si="20"/>
        <v>#REF!</v>
      </c>
      <c r="B662" s="51"/>
      <c r="C662" s="170" t="s">
        <v>556</v>
      </c>
      <c r="D662" s="171" t="s">
        <v>136</v>
      </c>
      <c r="E662" s="172" t="s">
        <v>205</v>
      </c>
      <c r="F662" s="53"/>
      <c r="G662" s="117"/>
      <c r="H662" s="173" t="e">
        <f>ROUND(H651+H655+H658,5)</f>
        <v>#REF!</v>
      </c>
      <c r="I662" s="114"/>
      <c r="J662" s="110" t="e">
        <f>J650</f>
        <v>#REF!</v>
      </c>
    </row>
    <row r="663" spans="1:10" s="55" customFormat="1" ht="17.100000000000001" customHeight="1">
      <c r="A663" s="295" t="e">
        <f t="shared" si="20"/>
        <v>#REF!</v>
      </c>
      <c r="B663" s="51"/>
      <c r="C663" s="170" t="s">
        <v>557</v>
      </c>
      <c r="D663" s="171" t="s">
        <v>204</v>
      </c>
      <c r="E663" s="172" t="s">
        <v>558</v>
      </c>
      <c r="F663" s="53"/>
      <c r="G663" s="117"/>
      <c r="H663" s="173" t="e">
        <f>SUM(H664:H665)</f>
        <v>#REF!</v>
      </c>
      <c r="I663" s="114"/>
      <c r="J663" s="110" t="e">
        <f>J650</f>
        <v>#REF!</v>
      </c>
    </row>
    <row r="664" spans="1:10" s="55" customFormat="1" ht="17.100000000000001" customHeight="1">
      <c r="A664" s="295" t="e">
        <f t="shared" si="20"/>
        <v>#REF!</v>
      </c>
      <c r="B664" s="51"/>
      <c r="C664" s="51" t="s">
        <v>426</v>
      </c>
      <c r="D664" s="52" t="s">
        <v>559</v>
      </c>
      <c r="E664" s="116">
        <f>cpc</f>
        <v>0.7</v>
      </c>
      <c r="F664" s="174"/>
      <c r="G664" s="175"/>
      <c r="H664" s="54" t="e">
        <f>E664*H655</f>
        <v>#REF!</v>
      </c>
      <c r="I664" s="114"/>
      <c r="J664" s="110" t="e">
        <f>J650</f>
        <v>#REF!</v>
      </c>
    </row>
    <row r="665" spans="1:10" s="55" customFormat="1" ht="17.100000000000001" customHeight="1">
      <c r="A665" s="295" t="e">
        <f t="shared" si="20"/>
        <v>#REF!</v>
      </c>
      <c r="B665" s="51"/>
      <c r="C665" s="78" t="s">
        <v>560</v>
      </c>
      <c r="D665" s="79" t="s">
        <v>561</v>
      </c>
      <c r="E665" s="176">
        <f>hmc</f>
        <v>0.05</v>
      </c>
      <c r="F665" s="53"/>
      <c r="G665" s="113"/>
      <c r="H665" s="54" t="e">
        <f>E665*H662</f>
        <v>#REF!</v>
      </c>
      <c r="I665" s="114"/>
      <c r="J665" s="110" t="e">
        <f>J650</f>
        <v>#REF!</v>
      </c>
    </row>
    <row r="666" spans="1:10" s="55" customFormat="1" ht="17.100000000000001" customHeight="1">
      <c r="A666" s="295" t="e">
        <f t="shared" si="20"/>
        <v>#REF!</v>
      </c>
      <c r="B666" s="51"/>
      <c r="C666" s="170" t="s">
        <v>562</v>
      </c>
      <c r="D666" s="171" t="s">
        <v>563</v>
      </c>
      <c r="E666" s="179">
        <f>tn</f>
        <v>0.06</v>
      </c>
      <c r="F666" s="177"/>
      <c r="G666" s="178"/>
      <c r="H666" s="181" t="e">
        <f>SUM(H662:H663)*E666</f>
        <v>#REF!</v>
      </c>
      <c r="I666" s="114"/>
      <c r="J666" s="110" t="e">
        <f>J650</f>
        <v>#REF!</v>
      </c>
    </row>
    <row r="667" spans="1:10" s="55" customFormat="1" ht="17.100000000000001" customHeight="1">
      <c r="A667" s="295" t="e">
        <f t="shared" si="20"/>
        <v>#REF!</v>
      </c>
      <c r="B667" s="51"/>
      <c r="C667" s="92" t="s">
        <v>1879</v>
      </c>
      <c r="D667" s="171" t="s">
        <v>227</v>
      </c>
      <c r="E667" s="180" t="s">
        <v>564</v>
      </c>
      <c r="F667" s="174"/>
      <c r="G667" s="175"/>
      <c r="H667" s="173" t="e">
        <f>SUM(H668:H669)</f>
        <v>#REF!</v>
      </c>
      <c r="I667" s="114"/>
      <c r="J667" s="110" t="e">
        <f>J650</f>
        <v>#REF!</v>
      </c>
    </row>
    <row r="668" spans="1:10" s="55" customFormat="1" ht="17.100000000000001" customHeight="1">
      <c r="A668" s="295" t="e">
        <f t="shared" si="20"/>
        <v>#REF!</v>
      </c>
      <c r="B668" s="51"/>
      <c r="C668" s="51" t="s">
        <v>427</v>
      </c>
      <c r="D668" s="52" t="s">
        <v>428</v>
      </c>
      <c r="E668" s="1093">
        <f>paks</f>
        <v>0</v>
      </c>
      <c r="F668" s="174"/>
      <c r="G668" s="175"/>
      <c r="H668" s="54" t="e">
        <f>(H662+H663+H666)*E668</f>
        <v>#REF!</v>
      </c>
      <c r="I668" s="114"/>
      <c r="J668" s="110" t="e">
        <f>J650</f>
        <v>#REF!</v>
      </c>
    </row>
    <row r="669" spans="1:10" s="55" customFormat="1" ht="17.100000000000001" customHeight="1">
      <c r="A669" s="295" t="e">
        <f t="shared" si="20"/>
        <v>#REF!</v>
      </c>
      <c r="B669" s="51"/>
      <c r="C669" s="51" t="s">
        <v>429</v>
      </c>
      <c r="D669" s="52" t="s">
        <v>430</v>
      </c>
      <c r="E669" s="1093">
        <f>bcks</f>
        <v>0.03</v>
      </c>
      <c r="F669" s="53"/>
      <c r="G669" s="113"/>
      <c r="H669" s="54" t="e">
        <f>(H662+H663+H666)*E669</f>
        <v>#REF!</v>
      </c>
      <c r="I669" s="114"/>
      <c r="J669" s="110" t="e">
        <f>J650</f>
        <v>#REF!</v>
      </c>
    </row>
    <row r="670" spans="1:10" s="55" customFormat="1" ht="17.100000000000001" customHeight="1">
      <c r="A670" s="295" t="e">
        <f t="shared" si="20"/>
        <v>#REF!</v>
      </c>
      <c r="B670" s="51"/>
      <c r="C670" s="170" t="s">
        <v>565</v>
      </c>
      <c r="D670" s="171" t="s">
        <v>218</v>
      </c>
      <c r="E670" s="172" t="s">
        <v>566</v>
      </c>
      <c r="F670" s="53"/>
      <c r="G670" s="113"/>
      <c r="H670" s="173" t="e">
        <f>H662+H663+H666+H667</f>
        <v>#REF!</v>
      </c>
      <c r="I670" s="114"/>
      <c r="J670" s="110" t="e">
        <f>J650</f>
        <v>#REF!</v>
      </c>
    </row>
    <row r="671" spans="1:10" s="55" customFormat="1" ht="17.100000000000001" customHeight="1">
      <c r="A671" s="295" t="e">
        <f t="shared" si="20"/>
        <v>#REF!</v>
      </c>
      <c r="B671" s="51"/>
      <c r="C671" s="51" t="s">
        <v>567</v>
      </c>
      <c r="D671" s="52" t="s">
        <v>222</v>
      </c>
      <c r="E671" s="112" t="s">
        <v>1917</v>
      </c>
      <c r="F671" s="174"/>
      <c r="G671" s="175"/>
      <c r="H671" s="54" t="e">
        <f>ROUND(H670*10/100,5)</f>
        <v>#REF!</v>
      </c>
      <c r="I671" s="114"/>
      <c r="J671" s="715" t="e">
        <f>J650</f>
        <v>#REF!</v>
      </c>
    </row>
    <row r="672" spans="1:10" s="55" customFormat="1" ht="17.100000000000001" customHeight="1">
      <c r="A672" s="295" t="e">
        <f t="shared" si="20"/>
        <v>#REF!</v>
      </c>
      <c r="B672" s="51"/>
      <c r="C672" s="170" t="s">
        <v>568</v>
      </c>
      <c r="D672" s="171" t="s">
        <v>225</v>
      </c>
      <c r="E672" s="172" t="s">
        <v>192</v>
      </c>
      <c r="F672" s="53"/>
      <c r="G672" s="117"/>
      <c r="H672" s="56" t="e">
        <f>ROUND(H670+H671,5)</f>
        <v>#REF!</v>
      </c>
      <c r="I672" s="115"/>
      <c r="J672" s="715" t="e">
        <f>J650</f>
        <v>#REF!</v>
      </c>
    </row>
    <row r="673" spans="1:10" s="263" customFormat="1" ht="17.100000000000001" hidden="1" customHeight="1">
      <c r="A673" s="264" t="e">
        <f t="shared" si="20"/>
        <v>#REF!</v>
      </c>
      <c r="B673" s="265" t="s">
        <v>318</v>
      </c>
      <c r="C673" s="265" t="s">
        <v>319</v>
      </c>
      <c r="D673" s="266" t="s">
        <v>310</v>
      </c>
      <c r="E673" s="270"/>
      <c r="F673" s="267"/>
      <c r="G673" s="271"/>
      <c r="H673" s="268" t="e">
        <f>H695</f>
        <v>#REF!</v>
      </c>
      <c r="I673" s="272"/>
      <c r="J673" s="273" t="e">
        <f>IF(SUMIF(Khaosat!$B$6:$B$47,'PT giaKS'!B673,Khaosat!$I$6:$I$47)&lt;&gt;0,$J$6,0)</f>
        <v>#REF!</v>
      </c>
    </row>
    <row r="674" spans="1:10" s="55" customFormat="1" ht="17.100000000000001" hidden="1" customHeight="1">
      <c r="A674" s="50" t="e">
        <f t="shared" ref="A674:A737" si="21">IF(B674&lt;&gt;0,A673+J674,A673)</f>
        <v>#REF!</v>
      </c>
      <c r="B674" s="51"/>
      <c r="C674" s="51" t="s">
        <v>128</v>
      </c>
      <c r="D674" s="52" t="s">
        <v>0</v>
      </c>
      <c r="E674" s="112"/>
      <c r="F674" s="53"/>
      <c r="G674" s="117"/>
      <c r="H674" s="56">
        <f>ROUND(SUM(H675:H677),5)</f>
        <v>545.98500000000001</v>
      </c>
      <c r="I674" s="115"/>
      <c r="J674" s="110" t="e">
        <f>J673</f>
        <v>#REF!</v>
      </c>
    </row>
    <row r="675" spans="1:10" s="55" customFormat="1" ht="17.100000000000001" hidden="1" customHeight="1">
      <c r="A675" s="50" t="e">
        <f t="shared" si="21"/>
        <v>#REF!</v>
      </c>
      <c r="B675" s="51"/>
      <c r="C675" s="51" t="s">
        <v>438</v>
      </c>
      <c r="D675" s="52" t="s">
        <v>82</v>
      </c>
      <c r="E675" s="112">
        <f>0.09</f>
        <v>0.09</v>
      </c>
      <c r="F675" s="53">
        <f>VLKS!Q22</f>
        <v>5000</v>
      </c>
      <c r="G675" s="117">
        <f>hsvl</f>
        <v>1</v>
      </c>
      <c r="H675" s="54">
        <f>ROUND(E675*F675*G675,5)</f>
        <v>450</v>
      </c>
      <c r="I675" s="114"/>
      <c r="J675" s="110" t="e">
        <f>J673</f>
        <v>#REF!</v>
      </c>
    </row>
    <row r="676" spans="1:10" s="55" customFormat="1" ht="17.100000000000001" hidden="1" customHeight="1">
      <c r="A676" s="50" t="e">
        <f t="shared" si="21"/>
        <v>#REF!</v>
      </c>
      <c r="B676" s="51"/>
      <c r="C676" s="51" t="s">
        <v>433</v>
      </c>
      <c r="D676" s="52" t="s">
        <v>26</v>
      </c>
      <c r="E676" s="112">
        <f>0.0009</f>
        <v>8.9999999999999998E-4</v>
      </c>
      <c r="F676" s="53">
        <f>ROUND(VLKS!Q50/1000,5)</f>
        <v>51500</v>
      </c>
      <c r="G676" s="117">
        <f>hsvl</f>
        <v>1</v>
      </c>
      <c r="H676" s="54">
        <f>ROUND(E676*F676*G676,5)</f>
        <v>46.35</v>
      </c>
      <c r="I676" s="114"/>
      <c r="J676" s="110" t="e">
        <f>J673</f>
        <v>#REF!</v>
      </c>
    </row>
    <row r="677" spans="1:10" s="55" customFormat="1" ht="17.100000000000001" hidden="1" customHeight="1">
      <c r="A677" s="50" t="e">
        <f t="shared" si="21"/>
        <v>#REF!</v>
      </c>
      <c r="B677" s="51"/>
      <c r="C677" s="51" t="s">
        <v>127</v>
      </c>
      <c r="D677" s="52" t="s">
        <v>126</v>
      </c>
      <c r="E677" s="112">
        <f>10</f>
        <v>10</v>
      </c>
      <c r="F677" s="53"/>
      <c r="G677" s="117"/>
      <c r="H677" s="54">
        <f>ROUND(SUM(H675:H676)*E677/100,5)</f>
        <v>49.634999999999998</v>
      </c>
      <c r="I677" s="114"/>
      <c r="J677" s="110" t="e">
        <f>J673</f>
        <v>#REF!</v>
      </c>
    </row>
    <row r="678" spans="1:10" s="55" customFormat="1" ht="17.100000000000001" hidden="1" customHeight="1">
      <c r="A678" s="50" t="e">
        <f t="shared" si="21"/>
        <v>#REF!</v>
      </c>
      <c r="B678" s="51"/>
      <c r="C678" s="51" t="s">
        <v>125</v>
      </c>
      <c r="D678" s="52" t="s">
        <v>0</v>
      </c>
      <c r="E678" s="112"/>
      <c r="F678" s="53"/>
      <c r="G678" s="117"/>
      <c r="H678" s="56" t="e">
        <f>ROUND(SUM(H679:H680),5)</f>
        <v>#REF!</v>
      </c>
      <c r="I678" s="115"/>
      <c r="J678" s="110" t="e">
        <f>J673</f>
        <v>#REF!</v>
      </c>
    </row>
    <row r="679" spans="1:10" s="55" customFormat="1" ht="17.100000000000001" hidden="1" customHeight="1">
      <c r="A679" s="50" t="e">
        <f t="shared" si="21"/>
        <v>#REF!</v>
      </c>
      <c r="B679" s="51"/>
      <c r="C679" s="51" t="s">
        <v>423</v>
      </c>
      <c r="D679" s="52" t="s">
        <v>3</v>
      </c>
      <c r="E679" s="112">
        <f>0.0175</f>
        <v>1.7500000000000002E-2</v>
      </c>
      <c r="F679" s="53" t="e">
        <f>'NC,M KS'!P4</f>
        <v>#REF!</v>
      </c>
      <c r="G679" s="117">
        <f>hsnc</f>
        <v>1</v>
      </c>
      <c r="H679" s="54" t="e">
        <f>ROUND(E679*F679*G679,5)</f>
        <v>#REF!</v>
      </c>
      <c r="I679" s="114"/>
      <c r="J679" s="110" t="e">
        <f>J673</f>
        <v>#REF!</v>
      </c>
    </row>
    <row r="680" spans="1:10" s="55" customFormat="1" ht="17.100000000000001" hidden="1" customHeight="1">
      <c r="A680" s="50" t="e">
        <f t="shared" si="21"/>
        <v>#REF!</v>
      </c>
      <c r="B680" s="51"/>
      <c r="C680" s="51" t="s">
        <v>424</v>
      </c>
      <c r="D680" s="52" t="s">
        <v>3</v>
      </c>
      <c r="E680" s="112">
        <f>0.0251</f>
        <v>2.5100000000000001E-2</v>
      </c>
      <c r="F680" s="53" t="e">
        <f>'NC,M KS'!P6</f>
        <v>#REF!</v>
      </c>
      <c r="G680" s="117">
        <f>hsnc</f>
        <v>1</v>
      </c>
      <c r="H680" s="54" t="e">
        <f>ROUND(E680*F680*G680,5)</f>
        <v>#REF!</v>
      </c>
      <c r="I680" s="114"/>
      <c r="J680" s="110" t="e">
        <f>J673</f>
        <v>#REF!</v>
      </c>
    </row>
    <row r="681" spans="1:10" s="55" customFormat="1" ht="17.100000000000001" hidden="1" customHeight="1">
      <c r="A681" s="50" t="e">
        <f t="shared" si="21"/>
        <v>#REF!</v>
      </c>
      <c r="B681" s="51"/>
      <c r="C681" s="51" t="s">
        <v>124</v>
      </c>
      <c r="D681" s="52" t="s">
        <v>0</v>
      </c>
      <c r="E681" s="112"/>
      <c r="F681" s="53"/>
      <c r="G681" s="117"/>
      <c r="H681" s="56">
        <f>ROUND(SUM(H682:H684),5)</f>
        <v>679.5453</v>
      </c>
      <c r="I681" s="115"/>
      <c r="J681" s="110" t="e">
        <f>J673</f>
        <v>#REF!</v>
      </c>
    </row>
    <row r="682" spans="1:10" s="55" customFormat="1" ht="17.100000000000001" hidden="1" customHeight="1">
      <c r="A682" s="50" t="e">
        <f t="shared" si="21"/>
        <v>#REF!</v>
      </c>
      <c r="B682" s="51"/>
      <c r="C682" s="51" t="s">
        <v>436</v>
      </c>
      <c r="D682" s="52" t="s">
        <v>4</v>
      </c>
      <c r="E682" s="112">
        <f>0.0042</f>
        <v>4.1999999999999997E-3</v>
      </c>
      <c r="F682" s="53">
        <f>'NC,M KS'!P28</f>
        <v>147060</v>
      </c>
      <c r="G682" s="117">
        <f>hsm</f>
        <v>1</v>
      </c>
      <c r="H682" s="54">
        <f>ROUND(E682*F682*G682,5)</f>
        <v>617.65200000000004</v>
      </c>
      <c r="I682" s="114"/>
      <c r="J682" s="110" t="e">
        <f>J673</f>
        <v>#REF!</v>
      </c>
    </row>
    <row r="683" spans="1:10" s="55" customFormat="1" ht="17.100000000000001" hidden="1" customHeight="1">
      <c r="A683" s="50" t="e">
        <f t="shared" si="21"/>
        <v>#REF!</v>
      </c>
      <c r="B683" s="51"/>
      <c r="C683" s="51" t="s">
        <v>425</v>
      </c>
      <c r="D683" s="52" t="s">
        <v>4</v>
      </c>
      <c r="E683" s="112">
        <f>0.002</f>
        <v>2E-3</v>
      </c>
      <c r="F683" s="53">
        <f>'NC,M KS'!P27</f>
        <v>14767</v>
      </c>
      <c r="G683" s="117">
        <f>hsm</f>
        <v>1</v>
      </c>
      <c r="H683" s="54">
        <f>ROUND(E683*F683*G683,5)</f>
        <v>29.533999999999999</v>
      </c>
      <c r="I683" s="114"/>
      <c r="J683" s="110" t="e">
        <f>J673</f>
        <v>#REF!</v>
      </c>
    </row>
    <row r="684" spans="1:10" s="55" customFormat="1" ht="17.100000000000001" hidden="1" customHeight="1">
      <c r="A684" s="50" t="e">
        <f t="shared" si="21"/>
        <v>#REF!</v>
      </c>
      <c r="B684" s="51"/>
      <c r="C684" s="51" t="s">
        <v>130</v>
      </c>
      <c r="D684" s="52" t="s">
        <v>126</v>
      </c>
      <c r="E684" s="112">
        <f>5</f>
        <v>5</v>
      </c>
      <c r="F684" s="53"/>
      <c r="G684" s="117"/>
      <c r="H684" s="54">
        <f>ROUND(SUM(H682:H683)*E684/100,5)</f>
        <v>32.359299999999998</v>
      </c>
      <c r="I684" s="114"/>
      <c r="J684" s="110" t="e">
        <f>J673</f>
        <v>#REF!</v>
      </c>
    </row>
    <row r="685" spans="1:10" s="55" customFormat="1" ht="17.100000000000001" hidden="1" customHeight="1">
      <c r="A685" s="50" t="e">
        <f t="shared" si="21"/>
        <v>#REF!</v>
      </c>
      <c r="B685" s="51"/>
      <c r="C685" s="170" t="s">
        <v>556</v>
      </c>
      <c r="D685" s="171" t="s">
        <v>136</v>
      </c>
      <c r="E685" s="172" t="s">
        <v>205</v>
      </c>
      <c r="F685" s="53"/>
      <c r="G685" s="117"/>
      <c r="H685" s="173" t="e">
        <f>ROUND(H674+H678+H681,5)</f>
        <v>#REF!</v>
      </c>
      <c r="I685" s="114"/>
      <c r="J685" s="110" t="e">
        <f>J673</f>
        <v>#REF!</v>
      </c>
    </row>
    <row r="686" spans="1:10" s="55" customFormat="1" ht="17.100000000000001" hidden="1" customHeight="1">
      <c r="A686" s="50" t="e">
        <f t="shared" si="21"/>
        <v>#REF!</v>
      </c>
      <c r="B686" s="51"/>
      <c r="C686" s="170" t="s">
        <v>557</v>
      </c>
      <c r="D686" s="171" t="s">
        <v>204</v>
      </c>
      <c r="E686" s="172" t="s">
        <v>558</v>
      </c>
      <c r="F686" s="53"/>
      <c r="G686" s="117"/>
      <c r="H686" s="173" t="e">
        <f>SUM(H687:H688)</f>
        <v>#REF!</v>
      </c>
      <c r="I686" s="114"/>
      <c r="J686" s="110" t="e">
        <f>J673</f>
        <v>#REF!</v>
      </c>
    </row>
    <row r="687" spans="1:10" s="55" customFormat="1" ht="17.100000000000001" hidden="1" customHeight="1">
      <c r="A687" s="50" t="e">
        <f t="shared" si="21"/>
        <v>#REF!</v>
      </c>
      <c r="B687" s="51"/>
      <c r="C687" s="51" t="s">
        <v>426</v>
      </c>
      <c r="D687" s="52" t="s">
        <v>559</v>
      </c>
      <c r="E687" s="116">
        <f>cpc</f>
        <v>0.7</v>
      </c>
      <c r="F687" s="174"/>
      <c r="G687" s="175"/>
      <c r="H687" s="54" t="e">
        <f>E687*H678</f>
        <v>#REF!</v>
      </c>
      <c r="I687" s="114"/>
      <c r="J687" s="110" t="e">
        <f>J673</f>
        <v>#REF!</v>
      </c>
    </row>
    <row r="688" spans="1:10" s="55" customFormat="1" ht="17.100000000000001" hidden="1" customHeight="1">
      <c r="A688" s="50" t="e">
        <f t="shared" si="21"/>
        <v>#REF!</v>
      </c>
      <c r="B688" s="51"/>
      <c r="C688" s="78" t="s">
        <v>560</v>
      </c>
      <c r="D688" s="79" t="s">
        <v>561</v>
      </c>
      <c r="E688" s="176">
        <f>hmc</f>
        <v>0.05</v>
      </c>
      <c r="F688" s="53"/>
      <c r="G688" s="113"/>
      <c r="H688" s="54" t="e">
        <f>E688*H685</f>
        <v>#REF!</v>
      </c>
      <c r="I688" s="114"/>
      <c r="J688" s="110" t="e">
        <f>J673</f>
        <v>#REF!</v>
      </c>
    </row>
    <row r="689" spans="1:10" s="55" customFormat="1" ht="17.100000000000001" hidden="1" customHeight="1">
      <c r="A689" s="50" t="e">
        <f t="shared" si="21"/>
        <v>#REF!</v>
      </c>
      <c r="B689" s="51"/>
      <c r="C689" s="170" t="s">
        <v>562</v>
      </c>
      <c r="D689" s="171" t="s">
        <v>563</v>
      </c>
      <c r="E689" s="179">
        <f>tn</f>
        <v>0.06</v>
      </c>
      <c r="F689" s="177"/>
      <c r="G689" s="178"/>
      <c r="H689" s="181" t="e">
        <f>SUM(H685:H686)*E689</f>
        <v>#REF!</v>
      </c>
      <c r="I689" s="114"/>
      <c r="J689" s="110" t="e">
        <f>J673</f>
        <v>#REF!</v>
      </c>
    </row>
    <row r="690" spans="1:10" s="55" customFormat="1" ht="17.100000000000001" hidden="1" customHeight="1">
      <c r="A690" s="50" t="e">
        <f t="shared" si="21"/>
        <v>#REF!</v>
      </c>
      <c r="B690" s="51"/>
      <c r="C690" s="92" t="s">
        <v>1879</v>
      </c>
      <c r="D690" s="171" t="s">
        <v>227</v>
      </c>
      <c r="E690" s="180" t="s">
        <v>564</v>
      </c>
      <c r="F690" s="174"/>
      <c r="G690" s="175"/>
      <c r="H690" s="173" t="e">
        <f>SUM(H691:H692)</f>
        <v>#REF!</v>
      </c>
      <c r="I690" s="114"/>
      <c r="J690" s="110" t="e">
        <f>J673</f>
        <v>#REF!</v>
      </c>
    </row>
    <row r="691" spans="1:10" s="55" customFormat="1" ht="17.100000000000001" hidden="1" customHeight="1">
      <c r="A691" s="50" t="e">
        <f t="shared" si="21"/>
        <v>#REF!</v>
      </c>
      <c r="B691" s="51"/>
      <c r="C691" s="51" t="s">
        <v>427</v>
      </c>
      <c r="D691" s="52" t="s">
        <v>428</v>
      </c>
      <c r="E691" s="1093">
        <f>paks</f>
        <v>0</v>
      </c>
      <c r="F691" s="174"/>
      <c r="G691" s="175"/>
      <c r="H691" s="54" t="e">
        <f>(H685+H686+H689)*E691</f>
        <v>#REF!</v>
      </c>
      <c r="I691" s="114"/>
      <c r="J691" s="110" t="e">
        <f>J673</f>
        <v>#REF!</v>
      </c>
    </row>
    <row r="692" spans="1:10" s="55" customFormat="1" ht="17.100000000000001" hidden="1" customHeight="1">
      <c r="A692" s="50" t="e">
        <f t="shared" si="21"/>
        <v>#REF!</v>
      </c>
      <c r="B692" s="51"/>
      <c r="C692" s="51" t="s">
        <v>429</v>
      </c>
      <c r="D692" s="52" t="s">
        <v>430</v>
      </c>
      <c r="E692" s="1093">
        <f>bcks</f>
        <v>0.03</v>
      </c>
      <c r="F692" s="53"/>
      <c r="G692" s="113"/>
      <c r="H692" s="54" t="e">
        <f>(H685+H686+H689)*E692</f>
        <v>#REF!</v>
      </c>
      <c r="I692" s="114"/>
      <c r="J692" s="110" t="e">
        <f>J673</f>
        <v>#REF!</v>
      </c>
    </row>
    <row r="693" spans="1:10" s="55" customFormat="1" ht="17.100000000000001" hidden="1" customHeight="1">
      <c r="A693" s="50" t="e">
        <f t="shared" si="21"/>
        <v>#REF!</v>
      </c>
      <c r="B693" s="51"/>
      <c r="C693" s="170" t="s">
        <v>565</v>
      </c>
      <c r="D693" s="171" t="s">
        <v>218</v>
      </c>
      <c r="E693" s="172" t="s">
        <v>566</v>
      </c>
      <c r="F693" s="53"/>
      <c r="G693" s="113"/>
      <c r="H693" s="173" t="e">
        <f>H685+H686+H689+H690</f>
        <v>#REF!</v>
      </c>
      <c r="I693" s="114"/>
      <c r="J693" s="110" t="e">
        <f>J673</f>
        <v>#REF!</v>
      </c>
    </row>
    <row r="694" spans="1:10" s="55" customFormat="1" ht="17.100000000000001" hidden="1" customHeight="1">
      <c r="A694" s="50" t="e">
        <f t="shared" si="21"/>
        <v>#REF!</v>
      </c>
      <c r="B694" s="51"/>
      <c r="C694" s="51" t="s">
        <v>567</v>
      </c>
      <c r="D694" s="52" t="s">
        <v>222</v>
      </c>
      <c r="E694" s="112" t="s">
        <v>1917</v>
      </c>
      <c r="F694" s="174"/>
      <c r="G694" s="175"/>
      <c r="H694" s="54" t="e">
        <f>ROUND(H693*10/100,5)</f>
        <v>#REF!</v>
      </c>
      <c r="I694" s="114"/>
      <c r="J694" s="715" t="e">
        <f>J673</f>
        <v>#REF!</v>
      </c>
    </row>
    <row r="695" spans="1:10" s="55" customFormat="1" ht="17.100000000000001" hidden="1" customHeight="1">
      <c r="A695" s="50" t="e">
        <f t="shared" si="21"/>
        <v>#REF!</v>
      </c>
      <c r="B695" s="51"/>
      <c r="C695" s="170" t="s">
        <v>568</v>
      </c>
      <c r="D695" s="171" t="s">
        <v>225</v>
      </c>
      <c r="E695" s="172" t="s">
        <v>192</v>
      </c>
      <c r="F695" s="53"/>
      <c r="G695" s="117"/>
      <c r="H695" s="56" t="e">
        <f>ROUND(H693+H694,5)</f>
        <v>#REF!</v>
      </c>
      <c r="I695" s="115"/>
      <c r="J695" s="715" t="e">
        <f>J673</f>
        <v>#REF!</v>
      </c>
    </row>
    <row r="696" spans="1:10" s="263" customFormat="1" ht="17.100000000000001" hidden="1" customHeight="1">
      <c r="A696" s="264" t="e">
        <f t="shared" si="21"/>
        <v>#REF!</v>
      </c>
      <c r="B696" s="265" t="s">
        <v>373</v>
      </c>
      <c r="C696" s="265" t="s">
        <v>442</v>
      </c>
      <c r="D696" s="266" t="s">
        <v>310</v>
      </c>
      <c r="E696" s="270"/>
      <c r="F696" s="267"/>
      <c r="G696" s="271"/>
      <c r="H696" s="268" t="e">
        <f>H720</f>
        <v>#REF!</v>
      </c>
      <c r="I696" s="272"/>
      <c r="J696" s="273" t="e">
        <f>IF(SUMIF(Khaosat!$B$6:$B$47,'PT giaKS'!B696,Khaosat!$I$6:$I$47)&lt;&gt;0,$J$6,0)</f>
        <v>#REF!</v>
      </c>
    </row>
    <row r="697" spans="1:10" s="55" customFormat="1" ht="17.100000000000001" hidden="1" customHeight="1">
      <c r="A697" s="50" t="e">
        <f t="shared" si="21"/>
        <v>#REF!</v>
      </c>
      <c r="B697" s="51"/>
      <c r="C697" s="51" t="s">
        <v>128</v>
      </c>
      <c r="D697" s="52" t="s">
        <v>0</v>
      </c>
      <c r="E697" s="112"/>
      <c r="F697" s="53"/>
      <c r="G697" s="117"/>
      <c r="H697" s="56">
        <f>ROUND(SUM(H698:H702),5)</f>
        <v>294.25</v>
      </c>
      <c r="I697" s="115"/>
      <c r="J697" s="110" t="e">
        <f>J696</f>
        <v>#REF!</v>
      </c>
    </row>
    <row r="698" spans="1:10" s="55" customFormat="1" ht="17.100000000000001" hidden="1" customHeight="1">
      <c r="A698" s="50" t="e">
        <f t="shared" si="21"/>
        <v>#REF!</v>
      </c>
      <c r="B698" s="51"/>
      <c r="C698" s="51" t="s">
        <v>441</v>
      </c>
      <c r="D698" s="52" t="s">
        <v>82</v>
      </c>
      <c r="E698" s="112">
        <f>0.003</f>
        <v>3.0000000000000001E-3</v>
      </c>
      <c r="F698" s="53">
        <f>VLKS!Q41</f>
        <v>16000</v>
      </c>
      <c r="G698" s="117">
        <f>hsvl</f>
        <v>1</v>
      </c>
      <c r="H698" s="54">
        <f>ROUND(E698*F698*G698,5)</f>
        <v>48</v>
      </c>
      <c r="I698" s="114"/>
      <c r="J698" s="110" t="e">
        <f>J696</f>
        <v>#REF!</v>
      </c>
    </row>
    <row r="699" spans="1:10" s="55" customFormat="1" ht="17.100000000000001" hidden="1" customHeight="1">
      <c r="A699" s="50" t="e">
        <f t="shared" si="21"/>
        <v>#REF!</v>
      </c>
      <c r="B699" s="51"/>
      <c r="C699" s="51" t="s">
        <v>431</v>
      </c>
      <c r="D699" s="52" t="s">
        <v>26</v>
      </c>
      <c r="E699" s="112">
        <f>0.015</f>
        <v>1.4999999999999999E-2</v>
      </c>
      <c r="F699" s="53">
        <f>ROUND(VLKS!Q53/1000,5)</f>
        <v>1200</v>
      </c>
      <c r="G699" s="117">
        <f>hsvl</f>
        <v>1</v>
      </c>
      <c r="H699" s="54">
        <f>ROUND(E699*F699*G699,5)</f>
        <v>18</v>
      </c>
      <c r="I699" s="114"/>
      <c r="J699" s="110" t="e">
        <f>J696</f>
        <v>#REF!</v>
      </c>
    </row>
    <row r="700" spans="1:10" s="55" customFormat="1" ht="17.100000000000001" hidden="1" customHeight="1">
      <c r="A700" s="50" t="e">
        <f t="shared" si="21"/>
        <v>#REF!</v>
      </c>
      <c r="B700" s="51"/>
      <c r="C700" s="51" t="s">
        <v>438</v>
      </c>
      <c r="D700" s="52" t="s">
        <v>82</v>
      </c>
      <c r="E700" s="112">
        <f>0.03</f>
        <v>0.03</v>
      </c>
      <c r="F700" s="53">
        <f>VLKS!Q22</f>
        <v>5000</v>
      </c>
      <c r="G700" s="117">
        <f>hsvl</f>
        <v>1</v>
      </c>
      <c r="H700" s="54">
        <f>ROUND(E700*F700*G700,5)</f>
        <v>150</v>
      </c>
      <c r="I700" s="114"/>
      <c r="J700" s="110" t="e">
        <f>J696</f>
        <v>#REF!</v>
      </c>
    </row>
    <row r="701" spans="1:10" s="55" customFormat="1" ht="17.100000000000001" hidden="1" customHeight="1">
      <c r="A701" s="50" t="e">
        <f t="shared" si="21"/>
        <v>#REF!</v>
      </c>
      <c r="B701" s="51"/>
      <c r="C701" s="51" t="s">
        <v>433</v>
      </c>
      <c r="D701" s="52" t="s">
        <v>26</v>
      </c>
      <c r="E701" s="112">
        <f>0.001</f>
        <v>1E-3</v>
      </c>
      <c r="F701" s="53">
        <f>ROUND(VLKS!Q50/1000,5)</f>
        <v>51500</v>
      </c>
      <c r="G701" s="117">
        <f>hsvl</f>
        <v>1</v>
      </c>
      <c r="H701" s="54">
        <f>ROUND(E701*F701*G701,5)</f>
        <v>51.5</v>
      </c>
      <c r="I701" s="114"/>
      <c r="J701" s="110" t="e">
        <f>J696</f>
        <v>#REF!</v>
      </c>
    </row>
    <row r="702" spans="1:10" s="55" customFormat="1" ht="17.100000000000001" hidden="1" customHeight="1">
      <c r="A702" s="50" t="e">
        <f t="shared" si="21"/>
        <v>#REF!</v>
      </c>
      <c r="B702" s="51"/>
      <c r="C702" s="51" t="s">
        <v>127</v>
      </c>
      <c r="D702" s="52" t="s">
        <v>126</v>
      </c>
      <c r="E702" s="112">
        <f>10</f>
        <v>10</v>
      </c>
      <c r="F702" s="53"/>
      <c r="G702" s="117"/>
      <c r="H702" s="54">
        <f>ROUND(SUM(H698:H701)*E702/100,5)</f>
        <v>26.75</v>
      </c>
      <c r="I702" s="114"/>
      <c r="J702" s="110" t="e">
        <f>J696</f>
        <v>#REF!</v>
      </c>
    </row>
    <row r="703" spans="1:10" s="55" customFormat="1" ht="17.100000000000001" hidden="1" customHeight="1">
      <c r="A703" s="50" t="e">
        <f t="shared" si="21"/>
        <v>#REF!</v>
      </c>
      <c r="B703" s="51"/>
      <c r="C703" s="51" t="s">
        <v>125</v>
      </c>
      <c r="D703" s="52" t="s">
        <v>0</v>
      </c>
      <c r="E703" s="112"/>
      <c r="F703" s="53"/>
      <c r="G703" s="117"/>
      <c r="H703" s="56" t="e">
        <f>ROUND(SUM(H704:H705),5)</f>
        <v>#REF!</v>
      </c>
      <c r="I703" s="115"/>
      <c r="J703" s="110" t="e">
        <f>J696</f>
        <v>#REF!</v>
      </c>
    </row>
    <row r="704" spans="1:10" s="55" customFormat="1" ht="17.100000000000001" hidden="1" customHeight="1">
      <c r="A704" s="50" t="e">
        <f t="shared" si="21"/>
        <v>#REF!</v>
      </c>
      <c r="B704" s="51"/>
      <c r="C704" s="51" t="s">
        <v>423</v>
      </c>
      <c r="D704" s="52" t="s">
        <v>3</v>
      </c>
      <c r="E704" s="112">
        <f>0.0116</f>
        <v>1.1599999999999999E-2</v>
      </c>
      <c r="F704" s="53" t="e">
        <f>'NC,M KS'!P4</f>
        <v>#REF!</v>
      </c>
      <c r="G704" s="117">
        <f>hsnc</f>
        <v>1</v>
      </c>
      <c r="H704" s="54" t="e">
        <f>ROUND(E704*F704*G704,5)</f>
        <v>#REF!</v>
      </c>
      <c r="I704" s="114"/>
      <c r="J704" s="110" t="e">
        <f>J696</f>
        <v>#REF!</v>
      </c>
    </row>
    <row r="705" spans="1:10" s="55" customFormat="1" ht="17.100000000000001" hidden="1" customHeight="1">
      <c r="A705" s="50" t="e">
        <f t="shared" si="21"/>
        <v>#REF!</v>
      </c>
      <c r="B705" s="51"/>
      <c r="C705" s="51" t="s">
        <v>424</v>
      </c>
      <c r="D705" s="52" t="s">
        <v>3</v>
      </c>
      <c r="E705" s="112">
        <f>0.015</f>
        <v>1.4999999999999999E-2</v>
      </c>
      <c r="F705" s="53" t="e">
        <f>'NC,M KS'!P6</f>
        <v>#REF!</v>
      </c>
      <c r="G705" s="117">
        <f>hsnc</f>
        <v>1</v>
      </c>
      <c r="H705" s="54" t="e">
        <f>ROUND(E705*F705*G705,5)</f>
        <v>#REF!</v>
      </c>
      <c r="I705" s="114"/>
      <c r="J705" s="110" t="e">
        <f>J696</f>
        <v>#REF!</v>
      </c>
    </row>
    <row r="706" spans="1:10" s="55" customFormat="1" ht="17.100000000000001" hidden="1" customHeight="1">
      <c r="A706" s="50" t="e">
        <f t="shared" si="21"/>
        <v>#REF!</v>
      </c>
      <c r="B706" s="51"/>
      <c r="C706" s="51" t="s">
        <v>124</v>
      </c>
      <c r="D706" s="52" t="s">
        <v>0</v>
      </c>
      <c r="E706" s="112"/>
      <c r="F706" s="53"/>
      <c r="G706" s="117"/>
      <c r="H706" s="56">
        <f>ROUND(SUM(H707:H709),5)</f>
        <v>296.67791999999997</v>
      </c>
      <c r="I706" s="115"/>
      <c r="J706" s="110" t="e">
        <f>J696</f>
        <v>#REF!</v>
      </c>
    </row>
    <row r="707" spans="1:10" s="55" customFormat="1" ht="17.100000000000001" hidden="1" customHeight="1">
      <c r="A707" s="50" t="e">
        <f t="shared" si="21"/>
        <v>#REF!</v>
      </c>
      <c r="B707" s="51"/>
      <c r="C707" s="51" t="s">
        <v>436</v>
      </c>
      <c r="D707" s="52" t="s">
        <v>4</v>
      </c>
      <c r="E707" s="112">
        <f>0.0016</f>
        <v>1.6000000000000001E-3</v>
      </c>
      <c r="F707" s="53">
        <f>'NC,M KS'!P28</f>
        <v>147060</v>
      </c>
      <c r="G707" s="117">
        <f>hsm</f>
        <v>1</v>
      </c>
      <c r="H707" s="54">
        <f>ROUND(E707*F707*G707,5)</f>
        <v>235.29599999999999</v>
      </c>
      <c r="I707" s="114"/>
      <c r="J707" s="110" t="e">
        <f>J696</f>
        <v>#REF!</v>
      </c>
    </row>
    <row r="708" spans="1:10" s="55" customFormat="1" ht="17.100000000000001" hidden="1" customHeight="1">
      <c r="A708" s="50" t="e">
        <f t="shared" si="21"/>
        <v>#REF!</v>
      </c>
      <c r="B708" s="51"/>
      <c r="C708" s="51" t="s">
        <v>425</v>
      </c>
      <c r="D708" s="52" t="s">
        <v>4</v>
      </c>
      <c r="E708" s="112">
        <f>0.0032</f>
        <v>3.2000000000000002E-3</v>
      </c>
      <c r="F708" s="53">
        <f>'NC,M KS'!P27</f>
        <v>14767</v>
      </c>
      <c r="G708" s="117">
        <f>hsm</f>
        <v>1</v>
      </c>
      <c r="H708" s="54">
        <f>ROUND(E708*F708*G708,5)</f>
        <v>47.254399999999997</v>
      </c>
      <c r="I708" s="114"/>
      <c r="J708" s="110" t="e">
        <f>J696</f>
        <v>#REF!</v>
      </c>
    </row>
    <row r="709" spans="1:10" s="55" customFormat="1" ht="17.100000000000001" hidden="1" customHeight="1">
      <c r="A709" s="50" t="e">
        <f t="shared" si="21"/>
        <v>#REF!</v>
      </c>
      <c r="B709" s="51"/>
      <c r="C709" s="51" t="s">
        <v>130</v>
      </c>
      <c r="D709" s="52" t="s">
        <v>126</v>
      </c>
      <c r="E709" s="112">
        <f>5</f>
        <v>5</v>
      </c>
      <c r="F709" s="53"/>
      <c r="G709" s="117"/>
      <c r="H709" s="54">
        <f>ROUND(SUM(H707:H708)*E709/100,5)</f>
        <v>14.127520000000001</v>
      </c>
      <c r="I709" s="114"/>
      <c r="J709" s="110" t="e">
        <f>J696</f>
        <v>#REF!</v>
      </c>
    </row>
    <row r="710" spans="1:10" s="55" customFormat="1" ht="17.100000000000001" hidden="1" customHeight="1">
      <c r="A710" s="50" t="e">
        <f t="shared" si="21"/>
        <v>#REF!</v>
      </c>
      <c r="B710" s="51"/>
      <c r="C710" s="170" t="s">
        <v>556</v>
      </c>
      <c r="D710" s="171" t="s">
        <v>136</v>
      </c>
      <c r="E710" s="172" t="s">
        <v>205</v>
      </c>
      <c r="F710" s="53"/>
      <c r="G710" s="117"/>
      <c r="H710" s="173" t="e">
        <f>ROUND(H697+H703+H706,5)</f>
        <v>#REF!</v>
      </c>
      <c r="I710" s="114"/>
      <c r="J710" s="110" t="e">
        <f>J696</f>
        <v>#REF!</v>
      </c>
    </row>
    <row r="711" spans="1:10" s="55" customFormat="1" ht="17.100000000000001" hidden="1" customHeight="1">
      <c r="A711" s="50" t="e">
        <f t="shared" si="21"/>
        <v>#REF!</v>
      </c>
      <c r="B711" s="51"/>
      <c r="C711" s="170" t="s">
        <v>557</v>
      </c>
      <c r="D711" s="171" t="s">
        <v>204</v>
      </c>
      <c r="E711" s="172" t="s">
        <v>558</v>
      </c>
      <c r="F711" s="53"/>
      <c r="G711" s="117"/>
      <c r="H711" s="173" t="e">
        <f>SUM(H712:H713)</f>
        <v>#REF!</v>
      </c>
      <c r="I711" s="114"/>
      <c r="J711" s="110" t="e">
        <f>J696</f>
        <v>#REF!</v>
      </c>
    </row>
    <row r="712" spans="1:10" s="55" customFormat="1" ht="17.100000000000001" hidden="1" customHeight="1">
      <c r="A712" s="50" t="e">
        <f t="shared" si="21"/>
        <v>#REF!</v>
      </c>
      <c r="B712" s="51"/>
      <c r="C712" s="51" t="s">
        <v>426</v>
      </c>
      <c r="D712" s="52" t="s">
        <v>559</v>
      </c>
      <c r="E712" s="116">
        <f>cpc</f>
        <v>0.7</v>
      </c>
      <c r="F712" s="174"/>
      <c r="G712" s="175"/>
      <c r="H712" s="54" t="e">
        <f>E712*H703</f>
        <v>#REF!</v>
      </c>
      <c r="I712" s="114"/>
      <c r="J712" s="110" t="e">
        <f>J696</f>
        <v>#REF!</v>
      </c>
    </row>
    <row r="713" spans="1:10" s="55" customFormat="1" ht="17.100000000000001" hidden="1" customHeight="1">
      <c r="A713" s="50" t="e">
        <f t="shared" si="21"/>
        <v>#REF!</v>
      </c>
      <c r="B713" s="51"/>
      <c r="C713" s="78" t="s">
        <v>560</v>
      </c>
      <c r="D713" s="79" t="s">
        <v>561</v>
      </c>
      <c r="E713" s="176">
        <f>hmc</f>
        <v>0.05</v>
      </c>
      <c r="F713" s="53"/>
      <c r="G713" s="113"/>
      <c r="H713" s="54" t="e">
        <f>E713*H710</f>
        <v>#REF!</v>
      </c>
      <c r="I713" s="114"/>
      <c r="J713" s="110" t="e">
        <f>J696</f>
        <v>#REF!</v>
      </c>
    </row>
    <row r="714" spans="1:10" s="55" customFormat="1" ht="17.100000000000001" hidden="1" customHeight="1">
      <c r="A714" s="50" t="e">
        <f t="shared" si="21"/>
        <v>#REF!</v>
      </c>
      <c r="B714" s="51"/>
      <c r="C714" s="170" t="s">
        <v>562</v>
      </c>
      <c r="D714" s="171" t="s">
        <v>563</v>
      </c>
      <c r="E714" s="179">
        <f>tn</f>
        <v>0.06</v>
      </c>
      <c r="F714" s="177"/>
      <c r="G714" s="178"/>
      <c r="H714" s="181" t="e">
        <f>SUM(H710:H711)*E714</f>
        <v>#REF!</v>
      </c>
      <c r="I714" s="114"/>
      <c r="J714" s="110" t="e">
        <f>J696</f>
        <v>#REF!</v>
      </c>
    </row>
    <row r="715" spans="1:10" s="55" customFormat="1" ht="17.100000000000001" hidden="1" customHeight="1">
      <c r="A715" s="50" t="e">
        <f t="shared" si="21"/>
        <v>#REF!</v>
      </c>
      <c r="B715" s="51"/>
      <c r="C715" s="92" t="s">
        <v>1879</v>
      </c>
      <c r="D715" s="171" t="s">
        <v>227</v>
      </c>
      <c r="E715" s="180" t="s">
        <v>564</v>
      </c>
      <c r="F715" s="174"/>
      <c r="G715" s="175"/>
      <c r="H715" s="173" t="e">
        <f>SUM(H716:H717)</f>
        <v>#REF!</v>
      </c>
      <c r="I715" s="114"/>
      <c r="J715" s="110" t="e">
        <f>J696</f>
        <v>#REF!</v>
      </c>
    </row>
    <row r="716" spans="1:10" s="55" customFormat="1" ht="17.100000000000001" hidden="1" customHeight="1">
      <c r="A716" s="50" t="e">
        <f t="shared" si="21"/>
        <v>#REF!</v>
      </c>
      <c r="B716" s="51"/>
      <c r="C716" s="51" t="s">
        <v>427</v>
      </c>
      <c r="D716" s="52" t="s">
        <v>428</v>
      </c>
      <c r="E716" s="1093">
        <f>paks</f>
        <v>0</v>
      </c>
      <c r="F716" s="174"/>
      <c r="G716" s="175"/>
      <c r="H716" s="54" t="e">
        <f>(H710+H711+H714)*E716</f>
        <v>#REF!</v>
      </c>
      <c r="I716" s="114"/>
      <c r="J716" s="110" t="e">
        <f>J696</f>
        <v>#REF!</v>
      </c>
    </row>
    <row r="717" spans="1:10" s="55" customFormat="1" ht="17.100000000000001" hidden="1" customHeight="1">
      <c r="A717" s="50" t="e">
        <f t="shared" si="21"/>
        <v>#REF!</v>
      </c>
      <c r="B717" s="51"/>
      <c r="C717" s="51" t="s">
        <v>429</v>
      </c>
      <c r="D717" s="52" t="s">
        <v>430</v>
      </c>
      <c r="E717" s="1093">
        <f>bcks</f>
        <v>0.03</v>
      </c>
      <c r="F717" s="53"/>
      <c r="G717" s="113"/>
      <c r="H717" s="54" t="e">
        <f>(H710+H711+H714)*E717</f>
        <v>#REF!</v>
      </c>
      <c r="I717" s="114"/>
      <c r="J717" s="715" t="e">
        <f>J696</f>
        <v>#REF!</v>
      </c>
    </row>
    <row r="718" spans="1:10" s="55" customFormat="1" ht="17.100000000000001" hidden="1" customHeight="1">
      <c r="A718" s="50" t="e">
        <f t="shared" si="21"/>
        <v>#REF!</v>
      </c>
      <c r="B718" s="51"/>
      <c r="C718" s="170" t="s">
        <v>565</v>
      </c>
      <c r="D718" s="171" t="s">
        <v>218</v>
      </c>
      <c r="E718" s="172" t="s">
        <v>566</v>
      </c>
      <c r="F718" s="53"/>
      <c r="G718" s="113"/>
      <c r="H718" s="173" t="e">
        <f>H710+H711+H714+H715</f>
        <v>#REF!</v>
      </c>
      <c r="I718" s="114"/>
      <c r="J718" s="715" t="e">
        <f>J696</f>
        <v>#REF!</v>
      </c>
    </row>
    <row r="719" spans="1:10" s="55" customFormat="1" ht="17.100000000000001" hidden="1" customHeight="1">
      <c r="A719" s="50" t="e">
        <f t="shared" si="21"/>
        <v>#REF!</v>
      </c>
      <c r="B719" s="51"/>
      <c r="C719" s="51" t="s">
        <v>567</v>
      </c>
      <c r="D719" s="52" t="s">
        <v>222</v>
      </c>
      <c r="E719" s="112" t="s">
        <v>1917</v>
      </c>
      <c r="F719" s="174"/>
      <c r="G719" s="175"/>
      <c r="H719" s="54" t="e">
        <f>ROUND(H718*10/100,5)</f>
        <v>#REF!</v>
      </c>
      <c r="I719" s="114"/>
      <c r="J719" s="715" t="e">
        <f>J696</f>
        <v>#REF!</v>
      </c>
    </row>
    <row r="720" spans="1:10" s="55" customFormat="1" ht="17.100000000000001" hidden="1" customHeight="1">
      <c r="A720" s="50" t="e">
        <f t="shared" si="21"/>
        <v>#REF!</v>
      </c>
      <c r="B720" s="51"/>
      <c r="C720" s="170" t="s">
        <v>568</v>
      </c>
      <c r="D720" s="171" t="s">
        <v>225</v>
      </c>
      <c r="E720" s="172" t="s">
        <v>192</v>
      </c>
      <c r="F720" s="53"/>
      <c r="G720" s="117"/>
      <c r="H720" s="56" t="e">
        <f>ROUND(H718+H719,5)</f>
        <v>#REF!</v>
      </c>
      <c r="I720" s="115"/>
      <c r="J720" s="715" t="e">
        <f>J696</f>
        <v>#REF!</v>
      </c>
    </row>
    <row r="721" spans="1:10" s="263" customFormat="1" ht="17.100000000000001" hidden="1" customHeight="1">
      <c r="A721" s="264" t="e">
        <f t="shared" si="21"/>
        <v>#REF!</v>
      </c>
      <c r="B721" s="265" t="s">
        <v>374</v>
      </c>
      <c r="C721" s="265" t="s">
        <v>443</v>
      </c>
      <c r="D721" s="266" t="s">
        <v>310</v>
      </c>
      <c r="E721" s="270"/>
      <c r="F721" s="267"/>
      <c r="G721" s="271"/>
      <c r="H721" s="268" t="e">
        <f>H745</f>
        <v>#REF!</v>
      </c>
      <c r="I721" s="272"/>
      <c r="J721" s="273">
        <f>IF(SUMIF(Khaosat!$B$6:$B$47,'PT giaKS'!B721,Khaosat!$I$6:$I$47)&lt;&gt;0,$J$6,0)</f>
        <v>0</v>
      </c>
    </row>
    <row r="722" spans="1:10" s="55" customFormat="1" ht="17.100000000000001" hidden="1" customHeight="1">
      <c r="A722" s="50" t="e">
        <f t="shared" si="21"/>
        <v>#REF!</v>
      </c>
      <c r="B722" s="51"/>
      <c r="C722" s="51" t="s">
        <v>128</v>
      </c>
      <c r="D722" s="52" t="s">
        <v>0</v>
      </c>
      <c r="E722" s="112"/>
      <c r="F722" s="53"/>
      <c r="G722" s="117"/>
      <c r="H722" s="56">
        <f>ROUND(SUM(H723:H727),5)</f>
        <v>330.55</v>
      </c>
      <c r="I722" s="115"/>
      <c r="J722" s="110">
        <f>J721</f>
        <v>0</v>
      </c>
    </row>
    <row r="723" spans="1:10" s="55" customFormat="1" ht="17.100000000000001" hidden="1" customHeight="1">
      <c r="A723" s="50" t="e">
        <f t="shared" si="21"/>
        <v>#REF!</v>
      </c>
      <c r="B723" s="51"/>
      <c r="C723" s="51" t="s">
        <v>441</v>
      </c>
      <c r="D723" s="52" t="s">
        <v>82</v>
      </c>
      <c r="E723" s="112">
        <f>0.0035</f>
        <v>3.5000000000000001E-3</v>
      </c>
      <c r="F723" s="53">
        <f>VLKS!Q41</f>
        <v>16000</v>
      </c>
      <c r="G723" s="117">
        <f>hsvl</f>
        <v>1</v>
      </c>
      <c r="H723" s="54">
        <f>ROUND(E723*F723*G723,5)</f>
        <v>56</v>
      </c>
      <c r="I723" s="114"/>
      <c r="J723" s="110">
        <f>J721</f>
        <v>0</v>
      </c>
    </row>
    <row r="724" spans="1:10" s="55" customFormat="1" ht="17.100000000000001" hidden="1" customHeight="1">
      <c r="A724" s="50" t="e">
        <f t="shared" si="21"/>
        <v>#REF!</v>
      </c>
      <c r="B724" s="51"/>
      <c r="C724" s="51" t="s">
        <v>431</v>
      </c>
      <c r="D724" s="52" t="s">
        <v>26</v>
      </c>
      <c r="E724" s="112">
        <f>0.015</f>
        <v>1.4999999999999999E-2</v>
      </c>
      <c r="F724" s="53">
        <f>ROUND(VLKS!Q53/1000,5)</f>
        <v>1200</v>
      </c>
      <c r="G724" s="117">
        <f>hsvl</f>
        <v>1</v>
      </c>
      <c r="H724" s="54">
        <f>ROUND(E724*F724*G724,5)</f>
        <v>18</v>
      </c>
      <c r="I724" s="114"/>
      <c r="J724" s="110">
        <f>J721</f>
        <v>0</v>
      </c>
    </row>
    <row r="725" spans="1:10" s="55" customFormat="1" ht="17.100000000000001" hidden="1" customHeight="1">
      <c r="A725" s="50" t="e">
        <f t="shared" si="21"/>
        <v>#REF!</v>
      </c>
      <c r="B725" s="51"/>
      <c r="C725" s="51" t="s">
        <v>438</v>
      </c>
      <c r="D725" s="52" t="s">
        <v>82</v>
      </c>
      <c r="E725" s="112">
        <f>0.035</f>
        <v>3.5000000000000003E-2</v>
      </c>
      <c r="F725" s="53">
        <f>VLKS!Q22</f>
        <v>5000</v>
      </c>
      <c r="G725" s="117">
        <f>hsvl</f>
        <v>1</v>
      </c>
      <c r="H725" s="54">
        <f>ROUND(E725*F725*G725,5)</f>
        <v>175</v>
      </c>
      <c r="I725" s="114"/>
      <c r="J725" s="110">
        <f>J721</f>
        <v>0</v>
      </c>
    </row>
    <row r="726" spans="1:10" s="55" customFormat="1" ht="17.100000000000001" hidden="1" customHeight="1">
      <c r="A726" s="50" t="e">
        <f t="shared" si="21"/>
        <v>#REF!</v>
      </c>
      <c r="B726" s="51"/>
      <c r="C726" s="51" t="s">
        <v>433</v>
      </c>
      <c r="D726" s="52" t="s">
        <v>26</v>
      </c>
      <c r="E726" s="112">
        <f>0.001</f>
        <v>1E-3</v>
      </c>
      <c r="F726" s="53">
        <f>ROUND(VLKS!Q50/1000,5)</f>
        <v>51500</v>
      </c>
      <c r="G726" s="117">
        <f>hsvl</f>
        <v>1</v>
      </c>
      <c r="H726" s="54">
        <f>ROUND(E726*F726*G726,5)</f>
        <v>51.5</v>
      </c>
      <c r="I726" s="114"/>
      <c r="J726" s="110">
        <f>J721</f>
        <v>0</v>
      </c>
    </row>
    <row r="727" spans="1:10" s="55" customFormat="1" ht="17.100000000000001" hidden="1" customHeight="1">
      <c r="A727" s="50" t="e">
        <f t="shared" si="21"/>
        <v>#REF!</v>
      </c>
      <c r="B727" s="51"/>
      <c r="C727" s="51" t="s">
        <v>127</v>
      </c>
      <c r="D727" s="52" t="s">
        <v>126</v>
      </c>
      <c r="E727" s="112">
        <f>10</f>
        <v>10</v>
      </c>
      <c r="F727" s="53"/>
      <c r="G727" s="117"/>
      <c r="H727" s="54">
        <f>ROUND(SUM(H723:H726)*E727/100,5)</f>
        <v>30.05</v>
      </c>
      <c r="I727" s="114"/>
      <c r="J727" s="110">
        <f>J721</f>
        <v>0</v>
      </c>
    </row>
    <row r="728" spans="1:10" s="55" customFormat="1" ht="17.100000000000001" hidden="1" customHeight="1">
      <c r="A728" s="50" t="e">
        <f t="shared" si="21"/>
        <v>#REF!</v>
      </c>
      <c r="B728" s="51"/>
      <c r="C728" s="51" t="s">
        <v>125</v>
      </c>
      <c r="D728" s="52" t="s">
        <v>0</v>
      </c>
      <c r="E728" s="112"/>
      <c r="F728" s="53"/>
      <c r="G728" s="117"/>
      <c r="H728" s="56" t="e">
        <f>ROUND(SUM(H729:H730),5)</f>
        <v>#REF!</v>
      </c>
      <c r="I728" s="115"/>
      <c r="J728" s="110">
        <f>J721</f>
        <v>0</v>
      </c>
    </row>
    <row r="729" spans="1:10" s="55" customFormat="1" ht="17.100000000000001" hidden="1" customHeight="1">
      <c r="A729" s="50" t="e">
        <f t="shared" si="21"/>
        <v>#REF!</v>
      </c>
      <c r="B729" s="51"/>
      <c r="C729" s="51" t="s">
        <v>423</v>
      </c>
      <c r="D729" s="52" t="s">
        <v>3</v>
      </c>
      <c r="E729" s="112">
        <f>0.0152</f>
        <v>1.52E-2</v>
      </c>
      <c r="F729" s="53" t="e">
        <f>'NC,M KS'!P4</f>
        <v>#REF!</v>
      </c>
      <c r="G729" s="117">
        <f>hsnc</f>
        <v>1</v>
      </c>
      <c r="H729" s="54" t="e">
        <f>ROUND(E729*F729*G729,5)</f>
        <v>#REF!</v>
      </c>
      <c r="I729" s="114"/>
      <c r="J729" s="110">
        <f>J721</f>
        <v>0</v>
      </c>
    </row>
    <row r="730" spans="1:10" s="55" customFormat="1" ht="17.100000000000001" hidden="1" customHeight="1">
      <c r="A730" s="50" t="e">
        <f t="shared" si="21"/>
        <v>#REF!</v>
      </c>
      <c r="B730" s="51"/>
      <c r="C730" s="51" t="s">
        <v>424</v>
      </c>
      <c r="D730" s="52" t="s">
        <v>3</v>
      </c>
      <c r="E730" s="112">
        <f>0.0201</f>
        <v>2.01E-2</v>
      </c>
      <c r="F730" s="53" t="e">
        <f>'NC,M KS'!P6</f>
        <v>#REF!</v>
      </c>
      <c r="G730" s="117">
        <f>hsnc</f>
        <v>1</v>
      </c>
      <c r="H730" s="54" t="e">
        <f>ROUND(E730*F730*G730,5)</f>
        <v>#REF!</v>
      </c>
      <c r="I730" s="114"/>
      <c r="J730" s="110">
        <f>J721</f>
        <v>0</v>
      </c>
    </row>
    <row r="731" spans="1:10" s="55" customFormat="1" ht="17.100000000000001" hidden="1" customHeight="1">
      <c r="A731" s="50" t="e">
        <f t="shared" si="21"/>
        <v>#REF!</v>
      </c>
      <c r="B731" s="51"/>
      <c r="C731" s="51" t="s">
        <v>124</v>
      </c>
      <c r="D731" s="52" t="s">
        <v>0</v>
      </c>
      <c r="E731" s="112"/>
      <c r="F731" s="53"/>
      <c r="G731" s="117"/>
      <c r="H731" s="56">
        <f>ROUND(SUM(H732:H734),5)</f>
        <v>429.57558</v>
      </c>
      <c r="I731" s="115"/>
      <c r="J731" s="110">
        <f>J721</f>
        <v>0</v>
      </c>
    </row>
    <row r="732" spans="1:10" s="55" customFormat="1" ht="17.100000000000001" hidden="1" customHeight="1">
      <c r="A732" s="50" t="e">
        <f t="shared" si="21"/>
        <v>#REF!</v>
      </c>
      <c r="B732" s="51"/>
      <c r="C732" s="51" t="s">
        <v>436</v>
      </c>
      <c r="D732" s="52" t="s">
        <v>4</v>
      </c>
      <c r="E732" s="112">
        <f>0.0023</f>
        <v>2.3E-3</v>
      </c>
      <c r="F732" s="53">
        <f>'NC,M KS'!P28</f>
        <v>147060</v>
      </c>
      <c r="G732" s="117">
        <f>hsm</f>
        <v>1</v>
      </c>
      <c r="H732" s="54">
        <f>ROUND(E732*F732*G732,5)</f>
        <v>338.238</v>
      </c>
      <c r="I732" s="114"/>
      <c r="J732" s="110">
        <f>J721</f>
        <v>0</v>
      </c>
    </row>
    <row r="733" spans="1:10" s="55" customFormat="1" ht="17.100000000000001" hidden="1" customHeight="1">
      <c r="A733" s="50" t="e">
        <f t="shared" si="21"/>
        <v>#REF!</v>
      </c>
      <c r="B733" s="51"/>
      <c r="C733" s="51" t="s">
        <v>425</v>
      </c>
      <c r="D733" s="52" t="s">
        <v>4</v>
      </c>
      <c r="E733" s="112">
        <f>0.0048</f>
        <v>4.7999999999999996E-3</v>
      </c>
      <c r="F733" s="53">
        <f>'NC,M KS'!P27</f>
        <v>14767</v>
      </c>
      <c r="G733" s="117">
        <f>hsm</f>
        <v>1</v>
      </c>
      <c r="H733" s="54">
        <f>ROUND(E733*F733*G733,5)</f>
        <v>70.881600000000006</v>
      </c>
      <c r="I733" s="114"/>
      <c r="J733" s="110">
        <f>J721</f>
        <v>0</v>
      </c>
    </row>
    <row r="734" spans="1:10" s="55" customFormat="1" ht="17.100000000000001" hidden="1" customHeight="1">
      <c r="A734" s="50" t="e">
        <f t="shared" si="21"/>
        <v>#REF!</v>
      </c>
      <c r="B734" s="51"/>
      <c r="C734" s="51" t="s">
        <v>130</v>
      </c>
      <c r="D734" s="52" t="s">
        <v>126</v>
      </c>
      <c r="E734" s="112">
        <f>5</f>
        <v>5</v>
      </c>
      <c r="F734" s="53"/>
      <c r="G734" s="117"/>
      <c r="H734" s="54">
        <f>ROUND(SUM(H732:H733)*E734/100,5)</f>
        <v>20.45598</v>
      </c>
      <c r="I734" s="114"/>
      <c r="J734" s="110">
        <f>J721</f>
        <v>0</v>
      </c>
    </row>
    <row r="735" spans="1:10" s="55" customFormat="1" ht="17.100000000000001" hidden="1" customHeight="1">
      <c r="A735" s="50" t="e">
        <f t="shared" si="21"/>
        <v>#REF!</v>
      </c>
      <c r="B735" s="51"/>
      <c r="C735" s="170" t="s">
        <v>556</v>
      </c>
      <c r="D735" s="171" t="s">
        <v>136</v>
      </c>
      <c r="E735" s="172" t="s">
        <v>205</v>
      </c>
      <c r="F735" s="53"/>
      <c r="G735" s="117"/>
      <c r="H735" s="173" t="e">
        <f>ROUND(H722+H728+H731,5)</f>
        <v>#REF!</v>
      </c>
      <c r="I735" s="114"/>
      <c r="J735" s="110">
        <f>J721</f>
        <v>0</v>
      </c>
    </row>
    <row r="736" spans="1:10" s="55" customFormat="1" ht="17.100000000000001" hidden="1" customHeight="1">
      <c r="A736" s="50" t="e">
        <f t="shared" si="21"/>
        <v>#REF!</v>
      </c>
      <c r="B736" s="51"/>
      <c r="C736" s="170" t="s">
        <v>557</v>
      </c>
      <c r="D736" s="171" t="s">
        <v>204</v>
      </c>
      <c r="E736" s="172" t="s">
        <v>558</v>
      </c>
      <c r="F736" s="53"/>
      <c r="G736" s="117"/>
      <c r="H736" s="173" t="e">
        <f>SUM(H737:H738)</f>
        <v>#REF!</v>
      </c>
      <c r="I736" s="114"/>
      <c r="J736" s="110">
        <f>J721</f>
        <v>0</v>
      </c>
    </row>
    <row r="737" spans="1:10" s="55" customFormat="1" ht="17.100000000000001" hidden="1" customHeight="1">
      <c r="A737" s="50" t="e">
        <f t="shared" si="21"/>
        <v>#REF!</v>
      </c>
      <c r="B737" s="51"/>
      <c r="C737" s="51" t="s">
        <v>426</v>
      </c>
      <c r="D737" s="52" t="s">
        <v>559</v>
      </c>
      <c r="E737" s="116">
        <f>cpc</f>
        <v>0.7</v>
      </c>
      <c r="F737" s="174"/>
      <c r="G737" s="175"/>
      <c r="H737" s="54" t="e">
        <f>E737*H728</f>
        <v>#REF!</v>
      </c>
      <c r="I737" s="114"/>
      <c r="J737" s="110">
        <f>J721</f>
        <v>0</v>
      </c>
    </row>
    <row r="738" spans="1:10" s="55" customFormat="1" ht="17.100000000000001" hidden="1" customHeight="1">
      <c r="A738" s="50" t="e">
        <f t="shared" ref="A738:A801" si="22">IF(B738&lt;&gt;0,A737+J738,A737)</f>
        <v>#REF!</v>
      </c>
      <c r="B738" s="51"/>
      <c r="C738" s="78" t="s">
        <v>560</v>
      </c>
      <c r="D738" s="79" t="s">
        <v>561</v>
      </c>
      <c r="E738" s="176">
        <f>hmc</f>
        <v>0.05</v>
      </c>
      <c r="F738" s="53"/>
      <c r="G738" s="113"/>
      <c r="H738" s="54" t="e">
        <f>E738*H735</f>
        <v>#REF!</v>
      </c>
      <c r="I738" s="114"/>
      <c r="J738" s="110">
        <f>J721</f>
        <v>0</v>
      </c>
    </row>
    <row r="739" spans="1:10" s="55" customFormat="1" ht="17.100000000000001" hidden="1" customHeight="1">
      <c r="A739" s="50" t="e">
        <f t="shared" si="22"/>
        <v>#REF!</v>
      </c>
      <c r="B739" s="51"/>
      <c r="C739" s="170" t="s">
        <v>562</v>
      </c>
      <c r="D739" s="171" t="s">
        <v>563</v>
      </c>
      <c r="E739" s="179">
        <f>tn</f>
        <v>0.06</v>
      </c>
      <c r="F739" s="177"/>
      <c r="G739" s="178"/>
      <c r="H739" s="181" t="e">
        <f>SUM(H735:H736)*E739</f>
        <v>#REF!</v>
      </c>
      <c r="I739" s="114"/>
      <c r="J739" s="110">
        <f>J721</f>
        <v>0</v>
      </c>
    </row>
    <row r="740" spans="1:10" s="55" customFormat="1" ht="17.100000000000001" hidden="1" customHeight="1">
      <c r="A740" s="50" t="e">
        <f t="shared" si="22"/>
        <v>#REF!</v>
      </c>
      <c r="B740" s="51"/>
      <c r="C740" s="92" t="s">
        <v>1879</v>
      </c>
      <c r="D740" s="171" t="s">
        <v>227</v>
      </c>
      <c r="E740" s="180" t="s">
        <v>564</v>
      </c>
      <c r="F740" s="174"/>
      <c r="G740" s="175"/>
      <c r="H740" s="173" t="e">
        <f>SUM(H741:H742)</f>
        <v>#REF!</v>
      </c>
      <c r="I740" s="114"/>
      <c r="J740" s="110">
        <f>J721</f>
        <v>0</v>
      </c>
    </row>
    <row r="741" spans="1:10" s="55" customFormat="1" ht="17.100000000000001" hidden="1" customHeight="1">
      <c r="A741" s="50" t="e">
        <f t="shared" si="22"/>
        <v>#REF!</v>
      </c>
      <c r="B741" s="51"/>
      <c r="C741" s="51" t="s">
        <v>427</v>
      </c>
      <c r="D741" s="52" t="s">
        <v>428</v>
      </c>
      <c r="E741" s="1093">
        <f>paks</f>
        <v>0</v>
      </c>
      <c r="F741" s="174"/>
      <c r="G741" s="175"/>
      <c r="H741" s="54" t="e">
        <f>(H735+H736+H739)*E741</f>
        <v>#REF!</v>
      </c>
      <c r="I741" s="114"/>
      <c r="J741" s="110">
        <f>J721</f>
        <v>0</v>
      </c>
    </row>
    <row r="742" spans="1:10" s="55" customFormat="1" ht="17.100000000000001" hidden="1" customHeight="1">
      <c r="A742" s="50" t="e">
        <f t="shared" si="22"/>
        <v>#REF!</v>
      </c>
      <c r="B742" s="51"/>
      <c r="C742" s="51" t="s">
        <v>429</v>
      </c>
      <c r="D742" s="52" t="s">
        <v>430</v>
      </c>
      <c r="E742" s="1093">
        <f>bcks</f>
        <v>0.03</v>
      </c>
      <c r="F742" s="53"/>
      <c r="G742" s="113"/>
      <c r="H742" s="54" t="e">
        <f>(H735+H736+H739)*E742</f>
        <v>#REF!</v>
      </c>
      <c r="I742" s="114"/>
      <c r="J742" s="715">
        <f>J721</f>
        <v>0</v>
      </c>
    </row>
    <row r="743" spans="1:10" s="55" customFormat="1" ht="17.100000000000001" hidden="1" customHeight="1">
      <c r="A743" s="50" t="e">
        <f t="shared" si="22"/>
        <v>#REF!</v>
      </c>
      <c r="B743" s="51"/>
      <c r="C743" s="170" t="s">
        <v>565</v>
      </c>
      <c r="D743" s="171" t="s">
        <v>218</v>
      </c>
      <c r="E743" s="172" t="s">
        <v>566</v>
      </c>
      <c r="F743" s="53"/>
      <c r="G743" s="113"/>
      <c r="H743" s="173" t="e">
        <f>H735+H736+H739+H740</f>
        <v>#REF!</v>
      </c>
      <c r="I743" s="114"/>
      <c r="J743" s="715">
        <f>J721</f>
        <v>0</v>
      </c>
    </row>
    <row r="744" spans="1:10" s="55" customFormat="1" ht="17.100000000000001" hidden="1" customHeight="1">
      <c r="A744" s="50" t="e">
        <f t="shared" si="22"/>
        <v>#REF!</v>
      </c>
      <c r="B744" s="51"/>
      <c r="C744" s="51" t="s">
        <v>567</v>
      </c>
      <c r="D744" s="52" t="s">
        <v>222</v>
      </c>
      <c r="E744" s="112" t="s">
        <v>1917</v>
      </c>
      <c r="F744" s="174"/>
      <c r="G744" s="175"/>
      <c r="H744" s="54" t="e">
        <f>ROUND(H743*10/100,5)</f>
        <v>#REF!</v>
      </c>
      <c r="I744" s="114"/>
      <c r="J744" s="715">
        <f>J721</f>
        <v>0</v>
      </c>
    </row>
    <row r="745" spans="1:10" s="55" customFormat="1" ht="17.100000000000001" hidden="1" customHeight="1">
      <c r="A745" s="50" t="e">
        <f t="shared" si="22"/>
        <v>#REF!</v>
      </c>
      <c r="B745" s="51"/>
      <c r="C745" s="170" t="s">
        <v>568</v>
      </c>
      <c r="D745" s="171" t="s">
        <v>225</v>
      </c>
      <c r="E745" s="172" t="s">
        <v>192</v>
      </c>
      <c r="F745" s="53"/>
      <c r="G745" s="117"/>
      <c r="H745" s="56" t="e">
        <f>ROUND(H743+H744,5)</f>
        <v>#REF!</v>
      </c>
      <c r="I745" s="115"/>
      <c r="J745" s="715">
        <f>J721</f>
        <v>0</v>
      </c>
    </row>
    <row r="746" spans="1:10" s="263" customFormat="1" ht="17.100000000000001" hidden="1" customHeight="1">
      <c r="A746" s="264" t="e">
        <f t="shared" si="22"/>
        <v>#REF!</v>
      </c>
      <c r="B746" s="265" t="s">
        <v>375</v>
      </c>
      <c r="C746" s="265" t="s">
        <v>444</v>
      </c>
      <c r="D746" s="266" t="s">
        <v>310</v>
      </c>
      <c r="E746" s="270"/>
      <c r="F746" s="267"/>
      <c r="G746" s="271"/>
      <c r="H746" s="268" t="e">
        <f>H770</f>
        <v>#REF!</v>
      </c>
      <c r="I746" s="272"/>
      <c r="J746" s="273">
        <f>IF(SUMIF(Khaosat!$B$6:$B$47,'PT giaKS'!B746,Khaosat!$I$6:$I$47)&lt;&gt;0,$J$6,0)</f>
        <v>0</v>
      </c>
    </row>
    <row r="747" spans="1:10" s="55" customFormat="1" ht="17.100000000000001" hidden="1" customHeight="1">
      <c r="A747" s="50" t="e">
        <f t="shared" si="22"/>
        <v>#REF!</v>
      </c>
      <c r="B747" s="51"/>
      <c r="C747" s="51" t="s">
        <v>128</v>
      </c>
      <c r="D747" s="52" t="s">
        <v>0</v>
      </c>
      <c r="E747" s="112"/>
      <c r="F747" s="53"/>
      <c r="G747" s="117"/>
      <c r="H747" s="56">
        <f>ROUND(SUM(H748:H752),5)</f>
        <v>401.77499999999998</v>
      </c>
      <c r="I747" s="115"/>
      <c r="J747" s="110">
        <f>J746</f>
        <v>0</v>
      </c>
    </row>
    <row r="748" spans="1:10" s="55" customFormat="1" ht="17.100000000000001" hidden="1" customHeight="1">
      <c r="A748" s="50" t="e">
        <f t="shared" si="22"/>
        <v>#REF!</v>
      </c>
      <c r="B748" s="51"/>
      <c r="C748" s="51" t="s">
        <v>441</v>
      </c>
      <c r="D748" s="52" t="s">
        <v>82</v>
      </c>
      <c r="E748" s="112">
        <f>0.004</f>
        <v>4.0000000000000001E-3</v>
      </c>
      <c r="F748" s="53">
        <f>VLKS!Q41</f>
        <v>16000</v>
      </c>
      <c r="G748" s="117">
        <f>hsvl</f>
        <v>1</v>
      </c>
      <c r="H748" s="54">
        <f>ROUND(E748*F748*G748,5)</f>
        <v>64</v>
      </c>
      <c r="I748" s="114"/>
      <c r="J748" s="110">
        <f>J746</f>
        <v>0</v>
      </c>
    </row>
    <row r="749" spans="1:10" s="55" customFormat="1" ht="17.100000000000001" hidden="1" customHeight="1">
      <c r="A749" s="50" t="e">
        <f t="shared" si="22"/>
        <v>#REF!</v>
      </c>
      <c r="B749" s="51"/>
      <c r="C749" s="51" t="s">
        <v>431</v>
      </c>
      <c r="D749" s="52" t="s">
        <v>26</v>
      </c>
      <c r="E749" s="112">
        <f>0.02</f>
        <v>0.02</v>
      </c>
      <c r="F749" s="53">
        <f>ROUND(VLKS!Q53/1000,5)</f>
        <v>1200</v>
      </c>
      <c r="G749" s="117">
        <f>hsvl</f>
        <v>1</v>
      </c>
      <c r="H749" s="54">
        <f>ROUND(E749*F749*G749,5)</f>
        <v>24</v>
      </c>
      <c r="I749" s="114"/>
      <c r="J749" s="110">
        <f>J746</f>
        <v>0</v>
      </c>
    </row>
    <row r="750" spans="1:10" s="55" customFormat="1" ht="17.100000000000001" hidden="1" customHeight="1">
      <c r="A750" s="50" t="e">
        <f t="shared" si="22"/>
        <v>#REF!</v>
      </c>
      <c r="B750" s="51"/>
      <c r="C750" s="51" t="s">
        <v>438</v>
      </c>
      <c r="D750" s="52" t="s">
        <v>82</v>
      </c>
      <c r="E750" s="112">
        <f>0.04</f>
        <v>0.04</v>
      </c>
      <c r="F750" s="53">
        <f>VLKS!Q22</f>
        <v>5000</v>
      </c>
      <c r="G750" s="117">
        <f>hsvl</f>
        <v>1</v>
      </c>
      <c r="H750" s="54">
        <f>ROUND(E750*F750*G750,5)</f>
        <v>200</v>
      </c>
      <c r="I750" s="114"/>
      <c r="J750" s="110">
        <f>J746</f>
        <v>0</v>
      </c>
    </row>
    <row r="751" spans="1:10" s="55" customFormat="1" ht="17.100000000000001" hidden="1" customHeight="1">
      <c r="A751" s="50" t="e">
        <f t="shared" si="22"/>
        <v>#REF!</v>
      </c>
      <c r="B751" s="51"/>
      <c r="C751" s="51" t="s">
        <v>433</v>
      </c>
      <c r="D751" s="52" t="s">
        <v>26</v>
      </c>
      <c r="E751" s="112">
        <f>0.0015</f>
        <v>1.5E-3</v>
      </c>
      <c r="F751" s="53">
        <f>ROUND(VLKS!Q50/1000,5)</f>
        <v>51500</v>
      </c>
      <c r="G751" s="117">
        <f>hsvl</f>
        <v>1</v>
      </c>
      <c r="H751" s="54">
        <f>ROUND(E751*F751*G751,5)</f>
        <v>77.25</v>
      </c>
      <c r="I751" s="114"/>
      <c r="J751" s="110">
        <f>J746</f>
        <v>0</v>
      </c>
    </row>
    <row r="752" spans="1:10" s="55" customFormat="1" ht="17.100000000000001" hidden="1" customHeight="1">
      <c r="A752" s="50" t="e">
        <f t="shared" si="22"/>
        <v>#REF!</v>
      </c>
      <c r="B752" s="51"/>
      <c r="C752" s="51" t="s">
        <v>127</v>
      </c>
      <c r="D752" s="52" t="s">
        <v>126</v>
      </c>
      <c r="E752" s="112">
        <f>10</f>
        <v>10</v>
      </c>
      <c r="F752" s="53"/>
      <c r="G752" s="117"/>
      <c r="H752" s="54">
        <f>ROUND(SUM(H748:H751)*E752/100,5)</f>
        <v>36.524999999999999</v>
      </c>
      <c r="I752" s="114"/>
      <c r="J752" s="110">
        <f>J746</f>
        <v>0</v>
      </c>
    </row>
    <row r="753" spans="1:10" s="55" customFormat="1" ht="17.100000000000001" hidden="1" customHeight="1">
      <c r="A753" s="50" t="e">
        <f t="shared" si="22"/>
        <v>#REF!</v>
      </c>
      <c r="B753" s="51"/>
      <c r="C753" s="51" t="s">
        <v>125</v>
      </c>
      <c r="D753" s="52" t="s">
        <v>0</v>
      </c>
      <c r="E753" s="112"/>
      <c r="F753" s="53"/>
      <c r="G753" s="117"/>
      <c r="H753" s="56" t="e">
        <f>ROUND(SUM(H754:H755),5)</f>
        <v>#REF!</v>
      </c>
      <c r="I753" s="115"/>
      <c r="J753" s="110">
        <f>J746</f>
        <v>0</v>
      </c>
    </row>
    <row r="754" spans="1:10" s="55" customFormat="1" ht="17.100000000000001" hidden="1" customHeight="1">
      <c r="A754" s="50" t="e">
        <f t="shared" si="22"/>
        <v>#REF!</v>
      </c>
      <c r="B754" s="51"/>
      <c r="C754" s="51" t="s">
        <v>423</v>
      </c>
      <c r="D754" s="52" t="s">
        <v>3</v>
      </c>
      <c r="E754" s="112">
        <f>0.0196</f>
        <v>1.9599999999999999E-2</v>
      </c>
      <c r="F754" s="53" t="e">
        <f>'NC,M KS'!P4</f>
        <v>#REF!</v>
      </c>
      <c r="G754" s="117">
        <f>hsnc</f>
        <v>1</v>
      </c>
      <c r="H754" s="54" t="e">
        <f>ROUND(E754*F754*G754,5)</f>
        <v>#REF!</v>
      </c>
      <c r="I754" s="114"/>
      <c r="J754" s="110">
        <f>J746</f>
        <v>0</v>
      </c>
    </row>
    <row r="755" spans="1:10" s="55" customFormat="1" ht="17.100000000000001" hidden="1" customHeight="1">
      <c r="A755" s="50" t="e">
        <f t="shared" si="22"/>
        <v>#REF!</v>
      </c>
      <c r="B755" s="51"/>
      <c r="C755" s="51" t="s">
        <v>424</v>
      </c>
      <c r="D755" s="52" t="s">
        <v>3</v>
      </c>
      <c r="E755" s="112">
        <f>0.0262</f>
        <v>2.6200000000000001E-2</v>
      </c>
      <c r="F755" s="53" t="e">
        <f>'NC,M KS'!P6</f>
        <v>#REF!</v>
      </c>
      <c r="G755" s="117">
        <f>hsnc</f>
        <v>1</v>
      </c>
      <c r="H755" s="54" t="e">
        <f>ROUND(E755*F755*G755,5)</f>
        <v>#REF!</v>
      </c>
      <c r="I755" s="114"/>
      <c r="J755" s="110">
        <f>J746</f>
        <v>0</v>
      </c>
    </row>
    <row r="756" spans="1:10" s="55" customFormat="1" ht="17.100000000000001" hidden="1" customHeight="1">
      <c r="A756" s="50" t="e">
        <f t="shared" si="22"/>
        <v>#REF!</v>
      </c>
      <c r="B756" s="51"/>
      <c r="C756" s="51" t="s">
        <v>124</v>
      </c>
      <c r="D756" s="52" t="s">
        <v>0</v>
      </c>
      <c r="E756" s="112"/>
      <c r="F756" s="53"/>
      <c r="G756" s="117"/>
      <c r="H756" s="56">
        <f>ROUND(SUM(H757:H759),5)</f>
        <v>576.36401000000001</v>
      </c>
      <c r="I756" s="115"/>
      <c r="J756" s="110">
        <f>J746</f>
        <v>0</v>
      </c>
    </row>
    <row r="757" spans="1:10" s="55" customFormat="1" ht="17.100000000000001" hidden="1" customHeight="1">
      <c r="A757" s="50" t="e">
        <f t="shared" si="22"/>
        <v>#REF!</v>
      </c>
      <c r="B757" s="51"/>
      <c r="C757" s="51" t="s">
        <v>436</v>
      </c>
      <c r="D757" s="52" t="s">
        <v>4</v>
      </c>
      <c r="E757" s="112">
        <f>0.0031</f>
        <v>3.0999999999999999E-3</v>
      </c>
      <c r="F757" s="53">
        <f>'NC,M KS'!P28</f>
        <v>147060</v>
      </c>
      <c r="G757" s="117">
        <f>hsm</f>
        <v>1</v>
      </c>
      <c r="H757" s="54">
        <f>ROUND(E757*F757*G757,5)</f>
        <v>455.88600000000002</v>
      </c>
      <c r="I757" s="114"/>
      <c r="J757" s="110">
        <f>J746</f>
        <v>0</v>
      </c>
    </row>
    <row r="758" spans="1:10" s="55" customFormat="1" ht="17.100000000000001" hidden="1" customHeight="1">
      <c r="A758" s="50" t="e">
        <f t="shared" si="22"/>
        <v>#REF!</v>
      </c>
      <c r="B758" s="51"/>
      <c r="C758" s="51" t="s">
        <v>425</v>
      </c>
      <c r="D758" s="52" t="s">
        <v>4</v>
      </c>
      <c r="E758" s="112">
        <f>0.0063</f>
        <v>6.3E-3</v>
      </c>
      <c r="F758" s="53">
        <f>'NC,M KS'!P27</f>
        <v>14767</v>
      </c>
      <c r="G758" s="117">
        <f>hsm</f>
        <v>1</v>
      </c>
      <c r="H758" s="54">
        <f>ROUND(E758*F758*G758,5)</f>
        <v>93.0321</v>
      </c>
      <c r="I758" s="114"/>
      <c r="J758" s="110">
        <f>J746</f>
        <v>0</v>
      </c>
    </row>
    <row r="759" spans="1:10" s="55" customFormat="1" ht="17.100000000000001" hidden="1" customHeight="1">
      <c r="A759" s="50" t="e">
        <f t="shared" si="22"/>
        <v>#REF!</v>
      </c>
      <c r="B759" s="51"/>
      <c r="C759" s="51" t="s">
        <v>130</v>
      </c>
      <c r="D759" s="52" t="s">
        <v>126</v>
      </c>
      <c r="E759" s="112">
        <f>5</f>
        <v>5</v>
      </c>
      <c r="F759" s="53"/>
      <c r="G759" s="117"/>
      <c r="H759" s="54">
        <f>ROUND(SUM(H757:H758)*E759/100,5)</f>
        <v>27.445910000000001</v>
      </c>
      <c r="I759" s="114"/>
      <c r="J759" s="110">
        <f>J746</f>
        <v>0</v>
      </c>
    </row>
    <row r="760" spans="1:10" s="55" customFormat="1" ht="17.100000000000001" hidden="1" customHeight="1">
      <c r="A760" s="50" t="e">
        <f t="shared" si="22"/>
        <v>#REF!</v>
      </c>
      <c r="B760" s="51"/>
      <c r="C760" s="170" t="s">
        <v>556</v>
      </c>
      <c r="D760" s="171" t="s">
        <v>136</v>
      </c>
      <c r="E760" s="172" t="s">
        <v>205</v>
      </c>
      <c r="F760" s="53"/>
      <c r="G760" s="117"/>
      <c r="H760" s="173" t="e">
        <f>ROUND(H747+H753+H756,5)</f>
        <v>#REF!</v>
      </c>
      <c r="I760" s="114"/>
      <c r="J760" s="110">
        <f>J746</f>
        <v>0</v>
      </c>
    </row>
    <row r="761" spans="1:10" s="55" customFormat="1" ht="17.100000000000001" hidden="1" customHeight="1">
      <c r="A761" s="50" t="e">
        <f t="shared" si="22"/>
        <v>#REF!</v>
      </c>
      <c r="B761" s="51"/>
      <c r="C761" s="170" t="s">
        <v>557</v>
      </c>
      <c r="D761" s="171" t="s">
        <v>204</v>
      </c>
      <c r="E761" s="172" t="s">
        <v>558</v>
      </c>
      <c r="F761" s="53"/>
      <c r="G761" s="117"/>
      <c r="H761" s="173" t="e">
        <f>SUM(H762:H763)</f>
        <v>#REF!</v>
      </c>
      <c r="I761" s="114"/>
      <c r="J761" s="110">
        <f>J746</f>
        <v>0</v>
      </c>
    </row>
    <row r="762" spans="1:10" s="55" customFormat="1" ht="17.100000000000001" hidden="1" customHeight="1">
      <c r="A762" s="50" t="e">
        <f t="shared" si="22"/>
        <v>#REF!</v>
      </c>
      <c r="B762" s="51"/>
      <c r="C762" s="51" t="s">
        <v>426</v>
      </c>
      <c r="D762" s="52" t="s">
        <v>559</v>
      </c>
      <c r="E762" s="116">
        <f>cpc</f>
        <v>0.7</v>
      </c>
      <c r="F762" s="174"/>
      <c r="G762" s="175"/>
      <c r="H762" s="54" t="e">
        <f>E762*H753</f>
        <v>#REF!</v>
      </c>
      <c r="I762" s="114"/>
      <c r="J762" s="110">
        <f>J746</f>
        <v>0</v>
      </c>
    </row>
    <row r="763" spans="1:10" s="55" customFormat="1" ht="17.100000000000001" hidden="1" customHeight="1">
      <c r="A763" s="50" t="e">
        <f t="shared" si="22"/>
        <v>#REF!</v>
      </c>
      <c r="B763" s="51"/>
      <c r="C763" s="78" t="s">
        <v>560</v>
      </c>
      <c r="D763" s="79" t="s">
        <v>561</v>
      </c>
      <c r="E763" s="176">
        <f>hmc</f>
        <v>0.05</v>
      </c>
      <c r="F763" s="53"/>
      <c r="G763" s="113"/>
      <c r="H763" s="54" t="e">
        <f>E763*H760</f>
        <v>#REF!</v>
      </c>
      <c r="I763" s="114"/>
      <c r="J763" s="110">
        <f>J746</f>
        <v>0</v>
      </c>
    </row>
    <row r="764" spans="1:10" s="55" customFormat="1" ht="17.100000000000001" hidden="1" customHeight="1">
      <c r="A764" s="50" t="e">
        <f t="shared" si="22"/>
        <v>#REF!</v>
      </c>
      <c r="B764" s="51"/>
      <c r="C764" s="170" t="s">
        <v>562</v>
      </c>
      <c r="D764" s="171" t="s">
        <v>563</v>
      </c>
      <c r="E764" s="179">
        <f>tn</f>
        <v>0.06</v>
      </c>
      <c r="F764" s="177"/>
      <c r="G764" s="178"/>
      <c r="H764" s="181" t="e">
        <f>SUM(H760:H761)*E764</f>
        <v>#REF!</v>
      </c>
      <c r="I764" s="114"/>
      <c r="J764" s="110">
        <f>J746</f>
        <v>0</v>
      </c>
    </row>
    <row r="765" spans="1:10" s="55" customFormat="1" ht="17.100000000000001" hidden="1" customHeight="1">
      <c r="A765" s="50" t="e">
        <f t="shared" si="22"/>
        <v>#REF!</v>
      </c>
      <c r="B765" s="51"/>
      <c r="C765" s="92" t="s">
        <v>1879</v>
      </c>
      <c r="D765" s="171" t="s">
        <v>227</v>
      </c>
      <c r="E765" s="180" t="s">
        <v>564</v>
      </c>
      <c r="F765" s="174"/>
      <c r="G765" s="175"/>
      <c r="H765" s="173" t="e">
        <f>SUM(H766:H767)</f>
        <v>#REF!</v>
      </c>
      <c r="I765" s="114"/>
      <c r="J765" s="110">
        <f>J746</f>
        <v>0</v>
      </c>
    </row>
    <row r="766" spans="1:10" s="55" customFormat="1" ht="17.100000000000001" hidden="1" customHeight="1">
      <c r="A766" s="50" t="e">
        <f t="shared" si="22"/>
        <v>#REF!</v>
      </c>
      <c r="B766" s="51"/>
      <c r="C766" s="51" t="s">
        <v>427</v>
      </c>
      <c r="D766" s="52" t="s">
        <v>428</v>
      </c>
      <c r="E766" s="1093">
        <f>paks</f>
        <v>0</v>
      </c>
      <c r="F766" s="174"/>
      <c r="G766" s="175"/>
      <c r="H766" s="54" t="e">
        <f>(H760+H761+H764)*E766</f>
        <v>#REF!</v>
      </c>
      <c r="I766" s="114"/>
      <c r="J766" s="110">
        <f>J746</f>
        <v>0</v>
      </c>
    </row>
    <row r="767" spans="1:10" s="55" customFormat="1" ht="17.100000000000001" hidden="1" customHeight="1">
      <c r="A767" s="50" t="e">
        <f t="shared" si="22"/>
        <v>#REF!</v>
      </c>
      <c r="B767" s="51"/>
      <c r="C767" s="51" t="s">
        <v>429</v>
      </c>
      <c r="D767" s="52" t="s">
        <v>430</v>
      </c>
      <c r="E767" s="1093">
        <f>bcks</f>
        <v>0.03</v>
      </c>
      <c r="F767" s="53"/>
      <c r="G767" s="113"/>
      <c r="H767" s="54" t="e">
        <f>(H760+H761+H764)*E767</f>
        <v>#REF!</v>
      </c>
      <c r="I767" s="114"/>
      <c r="J767" s="715">
        <f>J746</f>
        <v>0</v>
      </c>
    </row>
    <row r="768" spans="1:10" s="55" customFormat="1" ht="17.100000000000001" hidden="1" customHeight="1">
      <c r="A768" s="50" t="e">
        <f t="shared" si="22"/>
        <v>#REF!</v>
      </c>
      <c r="B768" s="51"/>
      <c r="C768" s="170" t="s">
        <v>565</v>
      </c>
      <c r="D768" s="171" t="s">
        <v>218</v>
      </c>
      <c r="E768" s="172" t="s">
        <v>566</v>
      </c>
      <c r="F768" s="53"/>
      <c r="G768" s="113"/>
      <c r="H768" s="173" t="e">
        <f>H760+H761+H764+H765</f>
        <v>#REF!</v>
      </c>
      <c r="I768" s="114"/>
      <c r="J768" s="715">
        <f>J746</f>
        <v>0</v>
      </c>
    </row>
    <row r="769" spans="1:10" s="55" customFormat="1" ht="17.100000000000001" hidden="1" customHeight="1">
      <c r="A769" s="50" t="e">
        <f t="shared" si="22"/>
        <v>#REF!</v>
      </c>
      <c r="B769" s="51"/>
      <c r="C769" s="51" t="s">
        <v>567</v>
      </c>
      <c r="D769" s="52" t="s">
        <v>222</v>
      </c>
      <c r="E769" s="112" t="s">
        <v>1917</v>
      </c>
      <c r="F769" s="174"/>
      <c r="G769" s="175"/>
      <c r="H769" s="54" t="e">
        <f>ROUND(H768*10/100,5)</f>
        <v>#REF!</v>
      </c>
      <c r="I769" s="114"/>
      <c r="J769" s="715">
        <f>J746</f>
        <v>0</v>
      </c>
    </row>
    <row r="770" spans="1:10" s="55" customFormat="1" ht="17.100000000000001" hidden="1" customHeight="1">
      <c r="A770" s="50" t="e">
        <f t="shared" si="22"/>
        <v>#REF!</v>
      </c>
      <c r="B770" s="51"/>
      <c r="C770" s="170" t="s">
        <v>568</v>
      </c>
      <c r="D770" s="171" t="s">
        <v>225</v>
      </c>
      <c r="E770" s="172" t="s">
        <v>192</v>
      </c>
      <c r="F770" s="53"/>
      <c r="G770" s="117"/>
      <c r="H770" s="56" t="e">
        <f>ROUND(H768+H769,5)</f>
        <v>#REF!</v>
      </c>
      <c r="I770" s="115"/>
      <c r="J770" s="715">
        <f>J746</f>
        <v>0</v>
      </c>
    </row>
    <row r="771" spans="1:10" s="263" customFormat="1" ht="17.100000000000001" hidden="1" customHeight="1">
      <c r="A771" s="264" t="e">
        <f t="shared" si="22"/>
        <v>#REF!</v>
      </c>
      <c r="B771" s="265" t="s">
        <v>376</v>
      </c>
      <c r="C771" s="265" t="s">
        <v>445</v>
      </c>
      <c r="D771" s="266" t="s">
        <v>310</v>
      </c>
      <c r="E771" s="270"/>
      <c r="F771" s="267"/>
      <c r="G771" s="271"/>
      <c r="H771" s="268" t="e">
        <f>H793</f>
        <v>#REF!</v>
      </c>
      <c r="I771" s="272"/>
      <c r="J771" s="273" t="e">
        <f>IF(SUMIF(Khaosat!$B$6:$B$47,'PT giaKS'!B771,Khaosat!$I$6:$I$47)&lt;&gt;0,$J$6,0)</f>
        <v>#REF!</v>
      </c>
    </row>
    <row r="772" spans="1:10" s="55" customFormat="1" ht="17.100000000000001" hidden="1" customHeight="1">
      <c r="A772" s="50" t="e">
        <f t="shared" si="22"/>
        <v>#REF!</v>
      </c>
      <c r="B772" s="51"/>
      <c r="C772" s="51" t="s">
        <v>128</v>
      </c>
      <c r="D772" s="52" t="s">
        <v>0</v>
      </c>
      <c r="E772" s="112"/>
      <c r="F772" s="53"/>
      <c r="G772" s="117"/>
      <c r="H772" s="56">
        <f>ROUND(SUM(H773:H775),5)</f>
        <v>363.99</v>
      </c>
      <c r="I772" s="115"/>
      <c r="J772" s="110" t="e">
        <f>J771</f>
        <v>#REF!</v>
      </c>
    </row>
    <row r="773" spans="1:10" s="55" customFormat="1" ht="17.100000000000001" hidden="1" customHeight="1">
      <c r="A773" s="50" t="e">
        <f t="shared" si="22"/>
        <v>#REF!</v>
      </c>
      <c r="B773" s="51"/>
      <c r="C773" s="51" t="s">
        <v>438</v>
      </c>
      <c r="D773" s="52" t="s">
        <v>82</v>
      </c>
      <c r="E773" s="112">
        <f>0.06</f>
        <v>0.06</v>
      </c>
      <c r="F773" s="53">
        <f>VLKS!Q22</f>
        <v>5000</v>
      </c>
      <c r="G773" s="117">
        <f>hsvl</f>
        <v>1</v>
      </c>
      <c r="H773" s="54">
        <f>ROUND(E773*F773*G773,5)</f>
        <v>300</v>
      </c>
      <c r="I773" s="114"/>
      <c r="J773" s="110" t="e">
        <f>J771</f>
        <v>#REF!</v>
      </c>
    </row>
    <row r="774" spans="1:10" s="55" customFormat="1" ht="17.100000000000001" hidden="1" customHeight="1">
      <c r="A774" s="50" t="e">
        <f t="shared" si="22"/>
        <v>#REF!</v>
      </c>
      <c r="B774" s="51"/>
      <c r="C774" s="51" t="s">
        <v>433</v>
      </c>
      <c r="D774" s="52" t="s">
        <v>26</v>
      </c>
      <c r="E774" s="112">
        <f>0.0006</f>
        <v>5.9999999999999995E-4</v>
      </c>
      <c r="F774" s="53">
        <f>ROUND(VLKS!Q50/1000,5)</f>
        <v>51500</v>
      </c>
      <c r="G774" s="117">
        <f>hsvl</f>
        <v>1</v>
      </c>
      <c r="H774" s="54">
        <f>ROUND(E774*F774*G774,5)</f>
        <v>30.9</v>
      </c>
      <c r="I774" s="114"/>
      <c r="J774" s="110" t="e">
        <f>J771</f>
        <v>#REF!</v>
      </c>
    </row>
    <row r="775" spans="1:10" s="55" customFormat="1" ht="17.100000000000001" hidden="1" customHeight="1">
      <c r="A775" s="50" t="e">
        <f t="shared" si="22"/>
        <v>#REF!</v>
      </c>
      <c r="B775" s="51"/>
      <c r="C775" s="51" t="s">
        <v>127</v>
      </c>
      <c r="D775" s="52" t="s">
        <v>126</v>
      </c>
      <c r="E775" s="112">
        <f>10</f>
        <v>10</v>
      </c>
      <c r="F775" s="53"/>
      <c r="G775" s="117"/>
      <c r="H775" s="54">
        <f>ROUND(SUM(H773:H774)*E775/100,5)</f>
        <v>33.090000000000003</v>
      </c>
      <c r="I775" s="114"/>
      <c r="J775" s="110" t="e">
        <f>J771</f>
        <v>#REF!</v>
      </c>
    </row>
    <row r="776" spans="1:10" s="55" customFormat="1" ht="17.100000000000001" hidden="1" customHeight="1">
      <c r="A776" s="50" t="e">
        <f t="shared" si="22"/>
        <v>#REF!</v>
      </c>
      <c r="B776" s="51"/>
      <c r="C776" s="51" t="s">
        <v>125</v>
      </c>
      <c r="D776" s="52" t="s">
        <v>0</v>
      </c>
      <c r="E776" s="112"/>
      <c r="F776" s="53"/>
      <c r="G776" s="117"/>
      <c r="H776" s="56" t="e">
        <f>ROUND(SUM(H777:H778),5)</f>
        <v>#REF!</v>
      </c>
      <c r="I776" s="115"/>
      <c r="J776" s="110" t="e">
        <f>J771</f>
        <v>#REF!</v>
      </c>
    </row>
    <row r="777" spans="1:10" s="55" customFormat="1" ht="17.100000000000001" hidden="1" customHeight="1">
      <c r="A777" s="50" t="e">
        <f t="shared" si="22"/>
        <v>#REF!</v>
      </c>
      <c r="B777" s="51"/>
      <c r="C777" s="51" t="s">
        <v>423</v>
      </c>
      <c r="D777" s="52" t="s">
        <v>3</v>
      </c>
      <c r="E777" s="112">
        <f>0.0215</f>
        <v>2.1499999999999998E-2</v>
      </c>
      <c r="F777" s="53" t="e">
        <f>'NC,M KS'!P4</f>
        <v>#REF!</v>
      </c>
      <c r="G777" s="117">
        <f>hsnc</f>
        <v>1</v>
      </c>
      <c r="H777" s="54" t="e">
        <f>ROUND(E777*F777*G777,5)</f>
        <v>#REF!</v>
      </c>
      <c r="I777" s="114"/>
      <c r="J777" s="110" t="e">
        <f>J771</f>
        <v>#REF!</v>
      </c>
    </row>
    <row r="778" spans="1:10" s="55" customFormat="1" ht="17.100000000000001" hidden="1" customHeight="1">
      <c r="A778" s="50" t="e">
        <f t="shared" si="22"/>
        <v>#REF!</v>
      </c>
      <c r="B778" s="51"/>
      <c r="C778" s="51" t="s">
        <v>424</v>
      </c>
      <c r="D778" s="52" t="s">
        <v>3</v>
      </c>
      <c r="E778" s="112">
        <f>0.0214</f>
        <v>2.1399999999999999E-2</v>
      </c>
      <c r="F778" s="53" t="e">
        <f>'NC,M KS'!P6</f>
        <v>#REF!</v>
      </c>
      <c r="G778" s="117">
        <f>hsnc</f>
        <v>1</v>
      </c>
      <c r="H778" s="54" t="e">
        <f>ROUND(E778*F778*G778,5)</f>
        <v>#REF!</v>
      </c>
      <c r="I778" s="114"/>
      <c r="J778" s="110" t="e">
        <f>J771</f>
        <v>#REF!</v>
      </c>
    </row>
    <row r="779" spans="1:10" s="55" customFormat="1" ht="17.100000000000001" hidden="1" customHeight="1">
      <c r="A779" s="50" t="e">
        <f t="shared" si="22"/>
        <v>#REF!</v>
      </c>
      <c r="B779" s="51"/>
      <c r="C779" s="51" t="s">
        <v>124</v>
      </c>
      <c r="D779" s="52" t="s">
        <v>0</v>
      </c>
      <c r="E779" s="112"/>
      <c r="F779" s="53"/>
      <c r="G779" s="117"/>
      <c r="H779" s="56">
        <f>ROUND(SUM(H780:H782),5)</f>
        <v>855.60173999999995</v>
      </c>
      <c r="I779" s="115"/>
      <c r="J779" s="110" t="e">
        <f>J771</f>
        <v>#REF!</v>
      </c>
    </row>
    <row r="780" spans="1:10" s="55" customFormat="1" ht="17.100000000000001" hidden="1" customHeight="1">
      <c r="A780" s="50" t="e">
        <f t="shared" si="22"/>
        <v>#REF!</v>
      </c>
      <c r="B780" s="51"/>
      <c r="C780" s="51" t="s">
        <v>436</v>
      </c>
      <c r="D780" s="52" t="s">
        <v>4</v>
      </c>
      <c r="E780" s="112">
        <f>0.0053</f>
        <v>5.3E-3</v>
      </c>
      <c r="F780" s="53">
        <f>'NC,M KS'!P28</f>
        <v>147060</v>
      </c>
      <c r="G780" s="117">
        <f>hsm</f>
        <v>1</v>
      </c>
      <c r="H780" s="54">
        <f>ROUND(E780*F780*G780,5)</f>
        <v>779.41800000000001</v>
      </c>
      <c r="I780" s="114"/>
      <c r="J780" s="110" t="e">
        <f>J771</f>
        <v>#REF!</v>
      </c>
    </row>
    <row r="781" spans="1:10" s="55" customFormat="1" ht="17.100000000000001" hidden="1" customHeight="1">
      <c r="A781" s="50" t="e">
        <f t="shared" si="22"/>
        <v>#REF!</v>
      </c>
      <c r="B781" s="51"/>
      <c r="C781" s="51" t="s">
        <v>425</v>
      </c>
      <c r="D781" s="52" t="s">
        <v>4</v>
      </c>
      <c r="E781" s="112">
        <f>0.0024</f>
        <v>2.3999999999999998E-3</v>
      </c>
      <c r="F781" s="53">
        <f>'NC,M KS'!P27</f>
        <v>14767</v>
      </c>
      <c r="G781" s="117">
        <f>hsm</f>
        <v>1</v>
      </c>
      <c r="H781" s="54">
        <f>ROUND(E781*F781*G781,5)</f>
        <v>35.440800000000003</v>
      </c>
      <c r="I781" s="114"/>
      <c r="J781" s="110" t="e">
        <f>J771</f>
        <v>#REF!</v>
      </c>
    </row>
    <row r="782" spans="1:10" s="55" customFormat="1" ht="17.100000000000001" hidden="1" customHeight="1">
      <c r="A782" s="50" t="e">
        <f t="shared" si="22"/>
        <v>#REF!</v>
      </c>
      <c r="B782" s="51"/>
      <c r="C782" s="51" t="s">
        <v>130</v>
      </c>
      <c r="D782" s="52" t="s">
        <v>126</v>
      </c>
      <c r="E782" s="112">
        <f>5</f>
        <v>5</v>
      </c>
      <c r="F782" s="53"/>
      <c r="G782" s="117"/>
      <c r="H782" s="54">
        <f>ROUND(SUM(H780:H781)*E782/100,5)</f>
        <v>40.742939999999997</v>
      </c>
      <c r="I782" s="114"/>
      <c r="J782" s="110" t="e">
        <f>J771</f>
        <v>#REF!</v>
      </c>
    </row>
    <row r="783" spans="1:10" s="55" customFormat="1" ht="17.100000000000001" hidden="1" customHeight="1">
      <c r="A783" s="50" t="e">
        <f t="shared" si="22"/>
        <v>#REF!</v>
      </c>
      <c r="B783" s="51"/>
      <c r="C783" s="170" t="s">
        <v>556</v>
      </c>
      <c r="D783" s="171" t="s">
        <v>136</v>
      </c>
      <c r="E783" s="172" t="s">
        <v>205</v>
      </c>
      <c r="F783" s="53"/>
      <c r="G783" s="117"/>
      <c r="H783" s="173" t="e">
        <f>ROUND(H772+H776+H779,5)</f>
        <v>#REF!</v>
      </c>
      <c r="I783" s="114"/>
      <c r="J783" s="110" t="e">
        <f>J771</f>
        <v>#REF!</v>
      </c>
    </row>
    <row r="784" spans="1:10" s="55" customFormat="1" ht="17.100000000000001" hidden="1" customHeight="1">
      <c r="A784" s="50" t="e">
        <f t="shared" si="22"/>
        <v>#REF!</v>
      </c>
      <c r="B784" s="51"/>
      <c r="C784" s="170" t="s">
        <v>557</v>
      </c>
      <c r="D784" s="171" t="s">
        <v>204</v>
      </c>
      <c r="E784" s="172" t="s">
        <v>558</v>
      </c>
      <c r="F784" s="53"/>
      <c r="G784" s="117"/>
      <c r="H784" s="173" t="e">
        <f>SUM(H785:H786)</f>
        <v>#REF!</v>
      </c>
      <c r="I784" s="114"/>
      <c r="J784" s="110" t="e">
        <f>J771</f>
        <v>#REF!</v>
      </c>
    </row>
    <row r="785" spans="1:10" s="55" customFormat="1" ht="17.100000000000001" hidden="1" customHeight="1">
      <c r="A785" s="50" t="e">
        <f t="shared" si="22"/>
        <v>#REF!</v>
      </c>
      <c r="B785" s="51"/>
      <c r="C785" s="51" t="s">
        <v>426</v>
      </c>
      <c r="D785" s="52" t="s">
        <v>559</v>
      </c>
      <c r="E785" s="116">
        <f>cpc</f>
        <v>0.7</v>
      </c>
      <c r="F785" s="174"/>
      <c r="G785" s="175"/>
      <c r="H785" s="54" t="e">
        <f>E785*H776</f>
        <v>#REF!</v>
      </c>
      <c r="I785" s="114"/>
      <c r="J785" s="110" t="e">
        <f>J771</f>
        <v>#REF!</v>
      </c>
    </row>
    <row r="786" spans="1:10" s="55" customFormat="1" ht="17.100000000000001" hidden="1" customHeight="1">
      <c r="A786" s="50" t="e">
        <f t="shared" si="22"/>
        <v>#REF!</v>
      </c>
      <c r="B786" s="51"/>
      <c r="C786" s="78" t="s">
        <v>560</v>
      </c>
      <c r="D786" s="79" t="s">
        <v>561</v>
      </c>
      <c r="E786" s="176">
        <f>hmc</f>
        <v>0.05</v>
      </c>
      <c r="F786" s="53"/>
      <c r="G786" s="113"/>
      <c r="H786" s="54" t="e">
        <f>E786*H783</f>
        <v>#REF!</v>
      </c>
      <c r="I786" s="114"/>
      <c r="J786" s="110" t="e">
        <f>J771</f>
        <v>#REF!</v>
      </c>
    </row>
    <row r="787" spans="1:10" s="55" customFormat="1" ht="17.100000000000001" hidden="1" customHeight="1">
      <c r="A787" s="50" t="e">
        <f t="shared" si="22"/>
        <v>#REF!</v>
      </c>
      <c r="B787" s="51"/>
      <c r="C787" s="170" t="s">
        <v>562</v>
      </c>
      <c r="D787" s="171" t="s">
        <v>563</v>
      </c>
      <c r="E787" s="179">
        <f>tn</f>
        <v>0.06</v>
      </c>
      <c r="F787" s="177"/>
      <c r="G787" s="178"/>
      <c r="H787" s="181" t="e">
        <f>SUM(H783:H784)*E787</f>
        <v>#REF!</v>
      </c>
      <c r="I787" s="114"/>
      <c r="J787" s="110" t="e">
        <f>J771</f>
        <v>#REF!</v>
      </c>
    </row>
    <row r="788" spans="1:10" s="55" customFormat="1" ht="17.100000000000001" hidden="1" customHeight="1">
      <c r="A788" s="50" t="e">
        <f t="shared" si="22"/>
        <v>#REF!</v>
      </c>
      <c r="B788" s="51"/>
      <c r="C788" s="92" t="s">
        <v>1879</v>
      </c>
      <c r="D788" s="171" t="s">
        <v>227</v>
      </c>
      <c r="E788" s="180" t="s">
        <v>564</v>
      </c>
      <c r="F788" s="174"/>
      <c r="G788" s="175"/>
      <c r="H788" s="173" t="e">
        <f>SUM(H789:H790)</f>
        <v>#REF!</v>
      </c>
      <c r="I788" s="114"/>
      <c r="J788" s="110" t="e">
        <f>J771</f>
        <v>#REF!</v>
      </c>
    </row>
    <row r="789" spans="1:10" s="55" customFormat="1" ht="17.100000000000001" hidden="1" customHeight="1">
      <c r="A789" s="50" t="e">
        <f t="shared" si="22"/>
        <v>#REF!</v>
      </c>
      <c r="B789" s="51"/>
      <c r="C789" s="51" t="s">
        <v>427</v>
      </c>
      <c r="D789" s="52" t="s">
        <v>428</v>
      </c>
      <c r="E789" s="1093">
        <f>paks</f>
        <v>0</v>
      </c>
      <c r="F789" s="174"/>
      <c r="G789" s="175"/>
      <c r="H789" s="54" t="e">
        <f>(H783+H784+H787)*E789</f>
        <v>#REF!</v>
      </c>
      <c r="I789" s="114"/>
      <c r="J789" s="110" t="e">
        <f>J771</f>
        <v>#REF!</v>
      </c>
    </row>
    <row r="790" spans="1:10" s="55" customFormat="1" ht="17.100000000000001" hidden="1" customHeight="1">
      <c r="A790" s="50" t="e">
        <f t="shared" si="22"/>
        <v>#REF!</v>
      </c>
      <c r="B790" s="51"/>
      <c r="C790" s="51" t="s">
        <v>429</v>
      </c>
      <c r="D790" s="52" t="s">
        <v>430</v>
      </c>
      <c r="E790" s="1093">
        <f>bcks</f>
        <v>0.03</v>
      </c>
      <c r="F790" s="53"/>
      <c r="G790" s="113"/>
      <c r="H790" s="54" t="e">
        <f>(H783+H784+H787)*E790</f>
        <v>#REF!</v>
      </c>
      <c r="I790" s="114"/>
      <c r="J790" s="110" t="e">
        <f>J771</f>
        <v>#REF!</v>
      </c>
    </row>
    <row r="791" spans="1:10" s="55" customFormat="1" ht="17.100000000000001" hidden="1" customHeight="1">
      <c r="A791" s="50" t="e">
        <f t="shared" si="22"/>
        <v>#REF!</v>
      </c>
      <c r="B791" s="51"/>
      <c r="C791" s="170" t="s">
        <v>565</v>
      </c>
      <c r="D791" s="171" t="s">
        <v>218</v>
      </c>
      <c r="E791" s="172" t="s">
        <v>566</v>
      </c>
      <c r="F791" s="53"/>
      <c r="G791" s="113"/>
      <c r="H791" s="173" t="e">
        <f>H783+H784+H787+H788</f>
        <v>#REF!</v>
      </c>
      <c r="I791" s="114"/>
      <c r="J791" s="110" t="e">
        <f>J771</f>
        <v>#REF!</v>
      </c>
    </row>
    <row r="792" spans="1:10" s="55" customFormat="1" ht="17.100000000000001" hidden="1" customHeight="1">
      <c r="A792" s="50" t="e">
        <f t="shared" si="22"/>
        <v>#REF!</v>
      </c>
      <c r="B792" s="51"/>
      <c r="C792" s="51" t="s">
        <v>567</v>
      </c>
      <c r="D792" s="52" t="s">
        <v>222</v>
      </c>
      <c r="E792" s="112" t="s">
        <v>1917</v>
      </c>
      <c r="F792" s="174"/>
      <c r="G792" s="175"/>
      <c r="H792" s="54" t="e">
        <f>ROUND(H791*10/100,5)</f>
        <v>#REF!</v>
      </c>
      <c r="I792" s="114"/>
      <c r="J792" s="715" t="e">
        <f>J771</f>
        <v>#REF!</v>
      </c>
    </row>
    <row r="793" spans="1:10" s="55" customFormat="1" ht="17.100000000000001" hidden="1" customHeight="1">
      <c r="A793" s="50" t="e">
        <f t="shared" si="22"/>
        <v>#REF!</v>
      </c>
      <c r="B793" s="51"/>
      <c r="C793" s="170" t="s">
        <v>568</v>
      </c>
      <c r="D793" s="171" t="s">
        <v>225</v>
      </c>
      <c r="E793" s="172" t="s">
        <v>192</v>
      </c>
      <c r="F793" s="53"/>
      <c r="G793" s="117"/>
      <c r="H793" s="56" t="e">
        <f>ROUND(H791+H792,5)</f>
        <v>#REF!</v>
      </c>
      <c r="I793" s="115"/>
      <c r="J793" s="715" t="e">
        <f>J771</f>
        <v>#REF!</v>
      </c>
    </row>
    <row r="794" spans="1:10" s="263" customFormat="1" ht="17.100000000000001" hidden="1" customHeight="1">
      <c r="A794" s="264" t="e">
        <f t="shared" si="22"/>
        <v>#REF!</v>
      </c>
      <c r="B794" s="265" t="s">
        <v>377</v>
      </c>
      <c r="C794" s="265" t="s">
        <v>446</v>
      </c>
      <c r="D794" s="266" t="s">
        <v>310</v>
      </c>
      <c r="E794" s="270"/>
      <c r="F794" s="267"/>
      <c r="G794" s="271"/>
      <c r="H794" s="268" t="e">
        <f>H816</f>
        <v>#REF!</v>
      </c>
      <c r="I794" s="272"/>
      <c r="J794" s="273">
        <f>IF(SUMIF(Khaosat!$B$6:$B$47,'PT giaKS'!B794,Khaosat!$I$6:$I$47)&lt;&gt;0,$J$6,0)</f>
        <v>0</v>
      </c>
    </row>
    <row r="795" spans="1:10" s="55" customFormat="1" ht="17.100000000000001" hidden="1" customHeight="1">
      <c r="A795" s="50" t="e">
        <f t="shared" si="22"/>
        <v>#REF!</v>
      </c>
      <c r="B795" s="51"/>
      <c r="C795" s="51" t="s">
        <v>128</v>
      </c>
      <c r="D795" s="52" t="s">
        <v>0</v>
      </c>
      <c r="E795" s="112"/>
      <c r="F795" s="53"/>
      <c r="G795" s="117"/>
      <c r="H795" s="56">
        <f>ROUND(SUM(H796:H798),5)</f>
        <v>363.99</v>
      </c>
      <c r="I795" s="115"/>
      <c r="J795" s="110">
        <f>J794</f>
        <v>0</v>
      </c>
    </row>
    <row r="796" spans="1:10" s="55" customFormat="1" ht="17.100000000000001" hidden="1" customHeight="1">
      <c r="A796" s="50" t="e">
        <f t="shared" si="22"/>
        <v>#REF!</v>
      </c>
      <c r="B796" s="51"/>
      <c r="C796" s="51" t="s">
        <v>438</v>
      </c>
      <c r="D796" s="52" t="s">
        <v>82</v>
      </c>
      <c r="E796" s="112">
        <f>0.06</f>
        <v>0.06</v>
      </c>
      <c r="F796" s="53">
        <f>VLKS!Q22</f>
        <v>5000</v>
      </c>
      <c r="G796" s="117">
        <f>hsvl</f>
        <v>1</v>
      </c>
      <c r="H796" s="54">
        <f>ROUND(E796*F796*G796,5)</f>
        <v>300</v>
      </c>
      <c r="I796" s="114"/>
      <c r="J796" s="110">
        <f>J794</f>
        <v>0</v>
      </c>
    </row>
    <row r="797" spans="1:10" s="55" customFormat="1" ht="17.100000000000001" hidden="1" customHeight="1">
      <c r="A797" s="50" t="e">
        <f t="shared" si="22"/>
        <v>#REF!</v>
      </c>
      <c r="B797" s="51"/>
      <c r="C797" s="51" t="s">
        <v>433</v>
      </c>
      <c r="D797" s="52" t="s">
        <v>26</v>
      </c>
      <c r="E797" s="112">
        <f>0.0006</f>
        <v>5.9999999999999995E-4</v>
      </c>
      <c r="F797" s="53">
        <f>ROUND(VLKS!Q50/1000,5)</f>
        <v>51500</v>
      </c>
      <c r="G797" s="117">
        <f>hsvl</f>
        <v>1</v>
      </c>
      <c r="H797" s="54">
        <f>ROUND(E797*F797*G797,5)</f>
        <v>30.9</v>
      </c>
      <c r="I797" s="114"/>
      <c r="J797" s="110">
        <f>J794</f>
        <v>0</v>
      </c>
    </row>
    <row r="798" spans="1:10" s="55" customFormat="1" ht="17.100000000000001" hidden="1" customHeight="1">
      <c r="A798" s="50" t="e">
        <f t="shared" si="22"/>
        <v>#REF!</v>
      </c>
      <c r="B798" s="51"/>
      <c r="C798" s="51" t="s">
        <v>127</v>
      </c>
      <c r="D798" s="52" t="s">
        <v>126</v>
      </c>
      <c r="E798" s="112">
        <f>10</f>
        <v>10</v>
      </c>
      <c r="F798" s="53"/>
      <c r="G798" s="117"/>
      <c r="H798" s="54">
        <f>ROUND(SUM(H796:H797)*E798/100,5)</f>
        <v>33.090000000000003</v>
      </c>
      <c r="I798" s="114"/>
      <c r="J798" s="110">
        <f>J794</f>
        <v>0</v>
      </c>
    </row>
    <row r="799" spans="1:10" s="55" customFormat="1" ht="17.100000000000001" hidden="1" customHeight="1">
      <c r="A799" s="50" t="e">
        <f t="shared" si="22"/>
        <v>#REF!</v>
      </c>
      <c r="B799" s="51"/>
      <c r="C799" s="51" t="s">
        <v>125</v>
      </c>
      <c r="D799" s="52" t="s">
        <v>0</v>
      </c>
      <c r="E799" s="112"/>
      <c r="F799" s="53"/>
      <c r="G799" s="117"/>
      <c r="H799" s="56" t="e">
        <f>ROUND(SUM(H800:H801),5)</f>
        <v>#REF!</v>
      </c>
      <c r="I799" s="115"/>
      <c r="J799" s="110">
        <f>J794</f>
        <v>0</v>
      </c>
    </row>
    <row r="800" spans="1:10" s="55" customFormat="1" ht="17.100000000000001" hidden="1" customHeight="1">
      <c r="A800" s="50" t="e">
        <f t="shared" si="22"/>
        <v>#REF!</v>
      </c>
      <c r="B800" s="51"/>
      <c r="C800" s="51" t="s">
        <v>423</v>
      </c>
      <c r="D800" s="52" t="s">
        <v>3</v>
      </c>
      <c r="E800" s="112">
        <f>0.028</f>
        <v>2.8000000000000001E-2</v>
      </c>
      <c r="F800" s="53" t="e">
        <f>'NC,M KS'!P4</f>
        <v>#REF!</v>
      </c>
      <c r="G800" s="117">
        <f>hsnc</f>
        <v>1</v>
      </c>
      <c r="H800" s="54" t="e">
        <f>ROUND(E800*F800*G800,5)</f>
        <v>#REF!</v>
      </c>
      <c r="I800" s="114"/>
      <c r="J800" s="110">
        <f>J794</f>
        <v>0</v>
      </c>
    </row>
    <row r="801" spans="1:10" s="55" customFormat="1" ht="17.100000000000001" hidden="1" customHeight="1">
      <c r="A801" s="50" t="e">
        <f t="shared" si="22"/>
        <v>#REF!</v>
      </c>
      <c r="B801" s="51"/>
      <c r="C801" s="51" t="s">
        <v>424</v>
      </c>
      <c r="D801" s="52" t="s">
        <v>3</v>
      </c>
      <c r="E801" s="112">
        <f>0.0275</f>
        <v>2.75E-2</v>
      </c>
      <c r="F801" s="53" t="e">
        <f>'NC,M KS'!P6</f>
        <v>#REF!</v>
      </c>
      <c r="G801" s="117">
        <f>hsnc</f>
        <v>1</v>
      </c>
      <c r="H801" s="54" t="e">
        <f>ROUND(E801*F801*G801,5)</f>
        <v>#REF!</v>
      </c>
      <c r="I801" s="114"/>
      <c r="J801" s="110">
        <f>J794</f>
        <v>0</v>
      </c>
    </row>
    <row r="802" spans="1:10" s="55" customFormat="1" ht="17.100000000000001" hidden="1" customHeight="1">
      <c r="A802" s="50" t="e">
        <f t="shared" ref="A802:A865" si="23">IF(B802&lt;&gt;0,A801+J802,A801)</f>
        <v>#REF!</v>
      </c>
      <c r="B802" s="51"/>
      <c r="C802" s="51" t="s">
        <v>124</v>
      </c>
      <c r="D802" s="52" t="s">
        <v>0</v>
      </c>
      <c r="E802" s="112"/>
      <c r="F802" s="53"/>
      <c r="G802" s="117"/>
      <c r="H802" s="56">
        <f>ROUND(SUM(H803:H805),5)</f>
        <v>1065.64185</v>
      </c>
      <c r="I802" s="115"/>
      <c r="J802" s="110">
        <f>J794</f>
        <v>0</v>
      </c>
    </row>
    <row r="803" spans="1:10" s="55" customFormat="1" ht="17.100000000000001" hidden="1" customHeight="1">
      <c r="A803" s="50" t="e">
        <f t="shared" si="23"/>
        <v>#REF!</v>
      </c>
      <c r="B803" s="51"/>
      <c r="C803" s="51" t="s">
        <v>436</v>
      </c>
      <c r="D803" s="52" t="s">
        <v>4</v>
      </c>
      <c r="E803" s="112">
        <f>0.0066</f>
        <v>6.6E-3</v>
      </c>
      <c r="F803" s="53">
        <f>'NC,M KS'!P28</f>
        <v>147060</v>
      </c>
      <c r="G803" s="117">
        <f>hsm</f>
        <v>1</v>
      </c>
      <c r="H803" s="54">
        <f>ROUND(E803*F803*G803,5)</f>
        <v>970.596</v>
      </c>
      <c r="I803" s="114"/>
      <c r="J803" s="110">
        <f>J794</f>
        <v>0</v>
      </c>
    </row>
    <row r="804" spans="1:10" s="55" customFormat="1" ht="17.100000000000001" hidden="1" customHeight="1">
      <c r="A804" s="50" t="e">
        <f t="shared" si="23"/>
        <v>#REF!</v>
      </c>
      <c r="B804" s="51"/>
      <c r="C804" s="51" t="s">
        <v>425</v>
      </c>
      <c r="D804" s="52" t="s">
        <v>4</v>
      </c>
      <c r="E804" s="112">
        <f>0.003</f>
        <v>3.0000000000000001E-3</v>
      </c>
      <c r="F804" s="53">
        <f>'NC,M KS'!P27</f>
        <v>14767</v>
      </c>
      <c r="G804" s="117">
        <f>hsm</f>
        <v>1</v>
      </c>
      <c r="H804" s="54">
        <f>ROUND(E804*F804*G804,5)</f>
        <v>44.301000000000002</v>
      </c>
      <c r="I804" s="114"/>
      <c r="J804" s="110">
        <f>J794</f>
        <v>0</v>
      </c>
    </row>
    <row r="805" spans="1:10" s="55" customFormat="1" ht="17.100000000000001" hidden="1" customHeight="1">
      <c r="A805" s="50" t="e">
        <f t="shared" si="23"/>
        <v>#REF!</v>
      </c>
      <c r="B805" s="51"/>
      <c r="C805" s="51" t="s">
        <v>130</v>
      </c>
      <c r="D805" s="52" t="s">
        <v>126</v>
      </c>
      <c r="E805" s="112">
        <f>5</f>
        <v>5</v>
      </c>
      <c r="F805" s="53"/>
      <c r="G805" s="117"/>
      <c r="H805" s="54">
        <f>ROUND(SUM(H803:H804)*E805/100,5)</f>
        <v>50.74485</v>
      </c>
      <c r="I805" s="114"/>
      <c r="J805" s="110">
        <f>J794</f>
        <v>0</v>
      </c>
    </row>
    <row r="806" spans="1:10" s="55" customFormat="1" ht="17.100000000000001" hidden="1" customHeight="1">
      <c r="A806" s="50" t="e">
        <f t="shared" si="23"/>
        <v>#REF!</v>
      </c>
      <c r="B806" s="51"/>
      <c r="C806" s="170" t="s">
        <v>556</v>
      </c>
      <c r="D806" s="171" t="s">
        <v>136</v>
      </c>
      <c r="E806" s="172" t="s">
        <v>205</v>
      </c>
      <c r="F806" s="53"/>
      <c r="G806" s="117"/>
      <c r="H806" s="173" t="e">
        <f>ROUND(H795+H799+H802,5)</f>
        <v>#REF!</v>
      </c>
      <c r="I806" s="114"/>
      <c r="J806" s="110">
        <f>J794</f>
        <v>0</v>
      </c>
    </row>
    <row r="807" spans="1:10" s="55" customFormat="1" ht="17.100000000000001" hidden="1" customHeight="1">
      <c r="A807" s="50" t="e">
        <f t="shared" si="23"/>
        <v>#REF!</v>
      </c>
      <c r="B807" s="51"/>
      <c r="C807" s="170" t="s">
        <v>557</v>
      </c>
      <c r="D807" s="171" t="s">
        <v>204</v>
      </c>
      <c r="E807" s="172" t="s">
        <v>558</v>
      </c>
      <c r="F807" s="53"/>
      <c r="G807" s="117"/>
      <c r="H807" s="173" t="e">
        <f>SUM(H808:H809)</f>
        <v>#REF!</v>
      </c>
      <c r="I807" s="114"/>
      <c r="J807" s="110">
        <f>J794</f>
        <v>0</v>
      </c>
    </row>
    <row r="808" spans="1:10" s="55" customFormat="1" ht="17.100000000000001" hidden="1" customHeight="1">
      <c r="A808" s="50" t="e">
        <f t="shared" si="23"/>
        <v>#REF!</v>
      </c>
      <c r="B808" s="51"/>
      <c r="C808" s="51" t="s">
        <v>426</v>
      </c>
      <c r="D808" s="52" t="s">
        <v>559</v>
      </c>
      <c r="E808" s="116">
        <f>cpc</f>
        <v>0.7</v>
      </c>
      <c r="F808" s="174"/>
      <c r="G808" s="175"/>
      <c r="H808" s="54" t="e">
        <f>E808*H799</f>
        <v>#REF!</v>
      </c>
      <c r="I808" s="114"/>
      <c r="J808" s="110">
        <f>J794</f>
        <v>0</v>
      </c>
    </row>
    <row r="809" spans="1:10" s="55" customFormat="1" ht="17.100000000000001" hidden="1" customHeight="1">
      <c r="A809" s="50" t="e">
        <f t="shared" si="23"/>
        <v>#REF!</v>
      </c>
      <c r="B809" s="51"/>
      <c r="C809" s="78" t="s">
        <v>560</v>
      </c>
      <c r="D809" s="79" t="s">
        <v>561</v>
      </c>
      <c r="E809" s="176">
        <f>hmc</f>
        <v>0.05</v>
      </c>
      <c r="F809" s="53"/>
      <c r="G809" s="113"/>
      <c r="H809" s="54" t="e">
        <f>E809*H806</f>
        <v>#REF!</v>
      </c>
      <c r="I809" s="114"/>
      <c r="J809" s="110">
        <f>J794</f>
        <v>0</v>
      </c>
    </row>
    <row r="810" spans="1:10" s="55" customFormat="1" ht="17.100000000000001" hidden="1" customHeight="1">
      <c r="A810" s="50" t="e">
        <f t="shared" si="23"/>
        <v>#REF!</v>
      </c>
      <c r="B810" s="51"/>
      <c r="C810" s="170" t="s">
        <v>562</v>
      </c>
      <c r="D810" s="171" t="s">
        <v>563</v>
      </c>
      <c r="E810" s="179">
        <f>tn</f>
        <v>0.06</v>
      </c>
      <c r="F810" s="177"/>
      <c r="G810" s="178"/>
      <c r="H810" s="181" t="e">
        <f>SUM(H806:H807)*E810</f>
        <v>#REF!</v>
      </c>
      <c r="I810" s="114"/>
      <c r="J810" s="110">
        <f>J794</f>
        <v>0</v>
      </c>
    </row>
    <row r="811" spans="1:10" s="55" customFormat="1" ht="17.100000000000001" hidden="1" customHeight="1">
      <c r="A811" s="50" t="e">
        <f t="shared" si="23"/>
        <v>#REF!</v>
      </c>
      <c r="B811" s="51"/>
      <c r="C811" s="92" t="s">
        <v>1879</v>
      </c>
      <c r="D811" s="171" t="s">
        <v>227</v>
      </c>
      <c r="E811" s="180" t="s">
        <v>564</v>
      </c>
      <c r="F811" s="174"/>
      <c r="G811" s="175"/>
      <c r="H811" s="173" t="e">
        <f>SUM(H812:H813)</f>
        <v>#REF!</v>
      </c>
      <c r="I811" s="114"/>
      <c r="J811" s="110">
        <f>J794</f>
        <v>0</v>
      </c>
    </row>
    <row r="812" spans="1:10" s="55" customFormat="1" ht="17.100000000000001" hidden="1" customHeight="1">
      <c r="A812" s="50" t="e">
        <f t="shared" si="23"/>
        <v>#REF!</v>
      </c>
      <c r="B812" s="51"/>
      <c r="C812" s="51" t="s">
        <v>427</v>
      </c>
      <c r="D812" s="52" t="s">
        <v>428</v>
      </c>
      <c r="E812" s="1093">
        <f>paks</f>
        <v>0</v>
      </c>
      <c r="F812" s="174"/>
      <c r="G812" s="175"/>
      <c r="H812" s="54" t="e">
        <f>(H806+H807+H810)*E812</f>
        <v>#REF!</v>
      </c>
      <c r="I812" s="114"/>
      <c r="J812" s="110">
        <f>J794</f>
        <v>0</v>
      </c>
    </row>
    <row r="813" spans="1:10" s="55" customFormat="1" ht="17.100000000000001" hidden="1" customHeight="1">
      <c r="A813" s="50" t="e">
        <f t="shared" si="23"/>
        <v>#REF!</v>
      </c>
      <c r="B813" s="51"/>
      <c r="C813" s="51" t="s">
        <v>429</v>
      </c>
      <c r="D813" s="52" t="s">
        <v>430</v>
      </c>
      <c r="E813" s="1093">
        <f>bcks</f>
        <v>0.03</v>
      </c>
      <c r="F813" s="53"/>
      <c r="G813" s="113"/>
      <c r="H813" s="54" t="e">
        <f>(H806+H807+H810)*E813</f>
        <v>#REF!</v>
      </c>
      <c r="I813" s="114"/>
      <c r="J813" s="110">
        <f>J794</f>
        <v>0</v>
      </c>
    </row>
    <row r="814" spans="1:10" s="55" customFormat="1" ht="17.100000000000001" hidden="1" customHeight="1">
      <c r="A814" s="50" t="e">
        <f t="shared" si="23"/>
        <v>#REF!</v>
      </c>
      <c r="B814" s="51"/>
      <c r="C814" s="170" t="s">
        <v>565</v>
      </c>
      <c r="D814" s="171" t="s">
        <v>218</v>
      </c>
      <c r="E814" s="172" t="s">
        <v>566</v>
      </c>
      <c r="F814" s="53"/>
      <c r="G814" s="113"/>
      <c r="H814" s="173" t="e">
        <f>H806+H807+H810+H811</f>
        <v>#REF!</v>
      </c>
      <c r="I814" s="114"/>
      <c r="J814" s="110">
        <f>J794</f>
        <v>0</v>
      </c>
    </row>
    <row r="815" spans="1:10" s="55" customFormat="1" ht="17.100000000000001" hidden="1" customHeight="1">
      <c r="A815" s="50" t="e">
        <f t="shared" si="23"/>
        <v>#REF!</v>
      </c>
      <c r="B815" s="51"/>
      <c r="C815" s="51" t="s">
        <v>567</v>
      </c>
      <c r="D815" s="52" t="s">
        <v>222</v>
      </c>
      <c r="E815" s="112" t="s">
        <v>1917</v>
      </c>
      <c r="F815" s="174"/>
      <c r="G815" s="175"/>
      <c r="H815" s="54" t="e">
        <f>ROUND(H814*10/100,5)</f>
        <v>#REF!</v>
      </c>
      <c r="I815" s="114"/>
      <c r="J815" s="715">
        <f>J794</f>
        <v>0</v>
      </c>
    </row>
    <row r="816" spans="1:10" s="55" customFormat="1" ht="17.100000000000001" hidden="1" customHeight="1">
      <c r="A816" s="50" t="e">
        <f t="shared" si="23"/>
        <v>#REF!</v>
      </c>
      <c r="B816" s="51"/>
      <c r="C816" s="170" t="s">
        <v>568</v>
      </c>
      <c r="D816" s="171" t="s">
        <v>225</v>
      </c>
      <c r="E816" s="172" t="s">
        <v>192</v>
      </c>
      <c r="F816" s="53"/>
      <c r="G816" s="117"/>
      <c r="H816" s="56" t="e">
        <f>ROUND(H814+H815,5)</f>
        <v>#REF!</v>
      </c>
      <c r="I816" s="115"/>
      <c r="J816" s="715">
        <f>J794</f>
        <v>0</v>
      </c>
    </row>
    <row r="817" spans="1:10" s="263" customFormat="1" ht="17.100000000000001" hidden="1" customHeight="1">
      <c r="A817" s="264" t="e">
        <f t="shared" si="23"/>
        <v>#REF!</v>
      </c>
      <c r="B817" s="265" t="s">
        <v>378</v>
      </c>
      <c r="C817" s="265" t="s">
        <v>447</v>
      </c>
      <c r="D817" s="266" t="s">
        <v>310</v>
      </c>
      <c r="E817" s="270"/>
      <c r="F817" s="267"/>
      <c r="G817" s="271"/>
      <c r="H817" s="268" t="e">
        <f>H839</f>
        <v>#REF!</v>
      </c>
      <c r="I817" s="272"/>
      <c r="J817" s="273">
        <f>IF(SUMIF(Khaosat!$B$6:$B$47,'PT giaKS'!B817,Khaosat!$I$6:$I$47)&lt;&gt;0,$J$6,0)</f>
        <v>0</v>
      </c>
    </row>
    <row r="818" spans="1:10" s="55" customFormat="1" ht="17.100000000000001" hidden="1" customHeight="1">
      <c r="A818" s="50" t="e">
        <f t="shared" si="23"/>
        <v>#REF!</v>
      </c>
      <c r="B818" s="51"/>
      <c r="C818" s="51" t="s">
        <v>128</v>
      </c>
      <c r="D818" s="52" t="s">
        <v>0</v>
      </c>
      <c r="E818" s="112"/>
      <c r="F818" s="53"/>
      <c r="G818" s="117"/>
      <c r="H818" s="56">
        <f>ROUND(SUM(H819:H821),5)</f>
        <v>485.32</v>
      </c>
      <c r="I818" s="115"/>
      <c r="J818" s="110">
        <f>J817</f>
        <v>0</v>
      </c>
    </row>
    <row r="819" spans="1:10" s="55" customFormat="1" ht="17.100000000000001" hidden="1" customHeight="1">
      <c r="A819" s="50" t="e">
        <f t="shared" si="23"/>
        <v>#REF!</v>
      </c>
      <c r="B819" s="51"/>
      <c r="C819" s="51" t="s">
        <v>438</v>
      </c>
      <c r="D819" s="52" t="s">
        <v>82</v>
      </c>
      <c r="E819" s="112">
        <f>0.08</f>
        <v>0.08</v>
      </c>
      <c r="F819" s="53">
        <f>VLKS!Q22</f>
        <v>5000</v>
      </c>
      <c r="G819" s="117">
        <f>hsvl</f>
        <v>1</v>
      </c>
      <c r="H819" s="54">
        <f>ROUND(E819*F819*G819,5)</f>
        <v>400</v>
      </c>
      <c r="I819" s="114"/>
      <c r="J819" s="110">
        <f>J817</f>
        <v>0</v>
      </c>
    </row>
    <row r="820" spans="1:10" s="55" customFormat="1" ht="17.100000000000001" hidden="1" customHeight="1">
      <c r="A820" s="50" t="e">
        <f t="shared" si="23"/>
        <v>#REF!</v>
      </c>
      <c r="B820" s="51"/>
      <c r="C820" s="51" t="s">
        <v>433</v>
      </c>
      <c r="D820" s="52" t="s">
        <v>26</v>
      </c>
      <c r="E820" s="112">
        <f>0.0008</f>
        <v>8.0000000000000004E-4</v>
      </c>
      <c r="F820" s="53">
        <f>ROUND(VLKS!Q50/1000,5)</f>
        <v>51500</v>
      </c>
      <c r="G820" s="117">
        <f>hsvl</f>
        <v>1</v>
      </c>
      <c r="H820" s="54">
        <f>ROUND(E820*F820*G820,5)</f>
        <v>41.2</v>
      </c>
      <c r="I820" s="114"/>
      <c r="J820" s="110">
        <f>J817</f>
        <v>0</v>
      </c>
    </row>
    <row r="821" spans="1:10" s="55" customFormat="1" ht="17.100000000000001" hidden="1" customHeight="1">
      <c r="A821" s="50" t="e">
        <f t="shared" si="23"/>
        <v>#REF!</v>
      </c>
      <c r="B821" s="51"/>
      <c r="C821" s="51" t="s">
        <v>127</v>
      </c>
      <c r="D821" s="52" t="s">
        <v>126</v>
      </c>
      <c r="E821" s="112">
        <f>10</f>
        <v>10</v>
      </c>
      <c r="F821" s="53"/>
      <c r="G821" s="117"/>
      <c r="H821" s="54">
        <f>ROUND(SUM(H819:H820)*E821/100,5)</f>
        <v>44.12</v>
      </c>
      <c r="I821" s="114"/>
      <c r="J821" s="110">
        <f>J817</f>
        <v>0</v>
      </c>
    </row>
    <row r="822" spans="1:10" s="55" customFormat="1" ht="17.100000000000001" hidden="1" customHeight="1">
      <c r="A822" s="50" t="e">
        <f t="shared" si="23"/>
        <v>#REF!</v>
      </c>
      <c r="B822" s="51"/>
      <c r="C822" s="51" t="s">
        <v>125</v>
      </c>
      <c r="D822" s="52" t="s">
        <v>0</v>
      </c>
      <c r="E822" s="112"/>
      <c r="F822" s="53"/>
      <c r="G822" s="117"/>
      <c r="H822" s="56" t="e">
        <f>ROUND(SUM(H823:H824),5)</f>
        <v>#REF!</v>
      </c>
      <c r="I822" s="115"/>
      <c r="J822" s="110">
        <f>J817</f>
        <v>0</v>
      </c>
    </row>
    <row r="823" spans="1:10" s="55" customFormat="1" ht="17.100000000000001" hidden="1" customHeight="1">
      <c r="A823" s="50" t="e">
        <f t="shared" si="23"/>
        <v>#REF!</v>
      </c>
      <c r="B823" s="51"/>
      <c r="C823" s="51" t="s">
        <v>423</v>
      </c>
      <c r="D823" s="52" t="s">
        <v>3</v>
      </c>
      <c r="E823" s="112">
        <f>0.0363</f>
        <v>3.6299999999999999E-2</v>
      </c>
      <c r="F823" s="53" t="e">
        <f>'NC,M KS'!P4</f>
        <v>#REF!</v>
      </c>
      <c r="G823" s="117">
        <f>hsnc</f>
        <v>1</v>
      </c>
      <c r="H823" s="54" t="e">
        <f>ROUND(E823*F823*G823,5)</f>
        <v>#REF!</v>
      </c>
      <c r="I823" s="114"/>
      <c r="J823" s="110">
        <f>J817</f>
        <v>0</v>
      </c>
    </row>
    <row r="824" spans="1:10" s="55" customFormat="1" ht="17.100000000000001" hidden="1" customHeight="1">
      <c r="A824" s="50" t="e">
        <f t="shared" si="23"/>
        <v>#REF!</v>
      </c>
      <c r="B824" s="51"/>
      <c r="C824" s="51" t="s">
        <v>424</v>
      </c>
      <c r="D824" s="52" t="s">
        <v>3</v>
      </c>
      <c r="E824" s="112">
        <f>0.037</f>
        <v>3.6999999999999998E-2</v>
      </c>
      <c r="F824" s="53" t="e">
        <f>'NC,M KS'!P6</f>
        <v>#REF!</v>
      </c>
      <c r="G824" s="117">
        <f>hsnc</f>
        <v>1</v>
      </c>
      <c r="H824" s="54" t="e">
        <f>ROUND(E824*F824*G824,5)</f>
        <v>#REF!</v>
      </c>
      <c r="I824" s="114"/>
      <c r="J824" s="110">
        <f>J817</f>
        <v>0</v>
      </c>
    </row>
    <row r="825" spans="1:10" s="55" customFormat="1" ht="17.100000000000001" hidden="1" customHeight="1">
      <c r="A825" s="50" t="e">
        <f t="shared" si="23"/>
        <v>#REF!</v>
      </c>
      <c r="B825" s="51"/>
      <c r="C825" s="51" t="s">
        <v>124</v>
      </c>
      <c r="D825" s="52" t="s">
        <v>0</v>
      </c>
      <c r="E825" s="112"/>
      <c r="F825" s="53"/>
      <c r="G825" s="117"/>
      <c r="H825" s="56">
        <f>ROUND(SUM(H826:H828),5)</f>
        <v>1576.81934</v>
      </c>
      <c r="I825" s="115"/>
      <c r="J825" s="110">
        <f>J817</f>
        <v>0</v>
      </c>
    </row>
    <row r="826" spans="1:10" s="55" customFormat="1" ht="17.100000000000001" hidden="1" customHeight="1">
      <c r="A826" s="50" t="e">
        <f t="shared" si="23"/>
        <v>#REF!</v>
      </c>
      <c r="B826" s="51"/>
      <c r="C826" s="51" t="s">
        <v>436</v>
      </c>
      <c r="D826" s="52" t="s">
        <v>4</v>
      </c>
      <c r="E826" s="112">
        <f>0.0098</f>
        <v>9.7999999999999997E-3</v>
      </c>
      <c r="F826" s="53">
        <f>'NC,M KS'!P28</f>
        <v>147060</v>
      </c>
      <c r="G826" s="117">
        <f>hsm</f>
        <v>1</v>
      </c>
      <c r="H826" s="54">
        <f>ROUND(E826*F826*G826,5)</f>
        <v>1441.1880000000001</v>
      </c>
      <c r="I826" s="114"/>
      <c r="J826" s="110">
        <f>J817</f>
        <v>0</v>
      </c>
    </row>
    <row r="827" spans="1:10" s="55" customFormat="1" ht="17.100000000000001" hidden="1" customHeight="1">
      <c r="A827" s="50" t="e">
        <f t="shared" si="23"/>
        <v>#REF!</v>
      </c>
      <c r="B827" s="51"/>
      <c r="C827" s="51" t="s">
        <v>425</v>
      </c>
      <c r="D827" s="52" t="s">
        <v>4</v>
      </c>
      <c r="E827" s="112">
        <f>0.0041</f>
        <v>4.1000000000000003E-3</v>
      </c>
      <c r="F827" s="53">
        <f>'NC,M KS'!P27</f>
        <v>14767</v>
      </c>
      <c r="G827" s="117">
        <f>hsm</f>
        <v>1</v>
      </c>
      <c r="H827" s="54">
        <f>ROUND(E827*F827*G827,5)</f>
        <v>60.544699999999999</v>
      </c>
      <c r="I827" s="114"/>
      <c r="J827" s="110">
        <f>J817</f>
        <v>0</v>
      </c>
    </row>
    <row r="828" spans="1:10" s="55" customFormat="1" ht="17.100000000000001" hidden="1" customHeight="1">
      <c r="A828" s="50" t="e">
        <f t="shared" si="23"/>
        <v>#REF!</v>
      </c>
      <c r="B828" s="51"/>
      <c r="C828" s="51" t="s">
        <v>130</v>
      </c>
      <c r="D828" s="52" t="s">
        <v>126</v>
      </c>
      <c r="E828" s="112">
        <f>5</f>
        <v>5</v>
      </c>
      <c r="F828" s="53"/>
      <c r="G828" s="117"/>
      <c r="H828" s="54">
        <f>ROUND(SUM(H826:H827)*E828/100,5)</f>
        <v>75.086640000000003</v>
      </c>
      <c r="I828" s="114"/>
      <c r="J828" s="110">
        <f>J817</f>
        <v>0</v>
      </c>
    </row>
    <row r="829" spans="1:10" s="55" customFormat="1" ht="17.100000000000001" hidden="1" customHeight="1">
      <c r="A829" s="50" t="e">
        <f t="shared" si="23"/>
        <v>#REF!</v>
      </c>
      <c r="B829" s="51"/>
      <c r="C829" s="170" t="s">
        <v>556</v>
      </c>
      <c r="D829" s="171" t="s">
        <v>136</v>
      </c>
      <c r="E829" s="172" t="s">
        <v>205</v>
      </c>
      <c r="F829" s="53"/>
      <c r="G829" s="117"/>
      <c r="H829" s="173" t="e">
        <f>ROUND(H818+H822+H825,5)</f>
        <v>#REF!</v>
      </c>
      <c r="I829" s="114"/>
      <c r="J829" s="110">
        <f>J817</f>
        <v>0</v>
      </c>
    </row>
    <row r="830" spans="1:10" s="55" customFormat="1" ht="17.100000000000001" hidden="1" customHeight="1">
      <c r="A830" s="50" t="e">
        <f t="shared" si="23"/>
        <v>#REF!</v>
      </c>
      <c r="B830" s="51"/>
      <c r="C830" s="170" t="s">
        <v>557</v>
      </c>
      <c r="D830" s="171" t="s">
        <v>204</v>
      </c>
      <c r="E830" s="172" t="s">
        <v>558</v>
      </c>
      <c r="F830" s="53"/>
      <c r="G830" s="117"/>
      <c r="H830" s="173" t="e">
        <f>SUM(H831:H832)</f>
        <v>#REF!</v>
      </c>
      <c r="I830" s="114"/>
      <c r="J830" s="110">
        <f>J817</f>
        <v>0</v>
      </c>
    </row>
    <row r="831" spans="1:10" s="55" customFormat="1" ht="17.100000000000001" hidden="1" customHeight="1">
      <c r="A831" s="50" t="e">
        <f t="shared" si="23"/>
        <v>#REF!</v>
      </c>
      <c r="B831" s="51"/>
      <c r="C831" s="51" t="s">
        <v>426</v>
      </c>
      <c r="D831" s="52" t="s">
        <v>559</v>
      </c>
      <c r="E831" s="116">
        <f>cpc</f>
        <v>0.7</v>
      </c>
      <c r="F831" s="174"/>
      <c r="G831" s="175"/>
      <c r="H831" s="54" t="e">
        <f>E831*H822</f>
        <v>#REF!</v>
      </c>
      <c r="I831" s="114"/>
      <c r="J831" s="110">
        <f>J817</f>
        <v>0</v>
      </c>
    </row>
    <row r="832" spans="1:10" s="55" customFormat="1" ht="17.100000000000001" hidden="1" customHeight="1">
      <c r="A832" s="50" t="e">
        <f t="shared" si="23"/>
        <v>#REF!</v>
      </c>
      <c r="B832" s="51"/>
      <c r="C832" s="78" t="s">
        <v>560</v>
      </c>
      <c r="D832" s="79" t="s">
        <v>561</v>
      </c>
      <c r="E832" s="176">
        <f>hmc</f>
        <v>0.05</v>
      </c>
      <c r="F832" s="53"/>
      <c r="G832" s="113"/>
      <c r="H832" s="54" t="e">
        <f>E832*H829</f>
        <v>#REF!</v>
      </c>
      <c r="I832" s="114"/>
      <c r="J832" s="110">
        <f>J817</f>
        <v>0</v>
      </c>
    </row>
    <row r="833" spans="1:10" s="55" customFormat="1" ht="17.100000000000001" hidden="1" customHeight="1">
      <c r="A833" s="50" t="e">
        <f t="shared" si="23"/>
        <v>#REF!</v>
      </c>
      <c r="B833" s="51"/>
      <c r="C833" s="170" t="s">
        <v>562</v>
      </c>
      <c r="D833" s="171" t="s">
        <v>563</v>
      </c>
      <c r="E833" s="179">
        <f>tn</f>
        <v>0.06</v>
      </c>
      <c r="F833" s="177"/>
      <c r="G833" s="178"/>
      <c r="H833" s="181" t="e">
        <f>SUM(H829:H830)*E833</f>
        <v>#REF!</v>
      </c>
      <c r="I833" s="114"/>
      <c r="J833" s="110">
        <f>J817</f>
        <v>0</v>
      </c>
    </row>
    <row r="834" spans="1:10" s="55" customFormat="1" ht="17.100000000000001" hidden="1" customHeight="1">
      <c r="A834" s="50" t="e">
        <f t="shared" si="23"/>
        <v>#REF!</v>
      </c>
      <c r="B834" s="51"/>
      <c r="C834" s="92" t="s">
        <v>1879</v>
      </c>
      <c r="D834" s="171" t="s">
        <v>227</v>
      </c>
      <c r="E834" s="180" t="s">
        <v>564</v>
      </c>
      <c r="F834" s="174"/>
      <c r="G834" s="175"/>
      <c r="H834" s="173" t="e">
        <f>SUM(H835:H836)</f>
        <v>#REF!</v>
      </c>
      <c r="I834" s="114"/>
      <c r="J834" s="110">
        <f>J817</f>
        <v>0</v>
      </c>
    </row>
    <row r="835" spans="1:10" s="55" customFormat="1" ht="17.100000000000001" hidden="1" customHeight="1">
      <c r="A835" s="50" t="e">
        <f t="shared" si="23"/>
        <v>#REF!</v>
      </c>
      <c r="B835" s="51"/>
      <c r="C835" s="51" t="s">
        <v>427</v>
      </c>
      <c r="D835" s="52" t="s">
        <v>428</v>
      </c>
      <c r="E835" s="1093">
        <f>paks</f>
        <v>0</v>
      </c>
      <c r="F835" s="174"/>
      <c r="G835" s="175"/>
      <c r="H835" s="54" t="e">
        <f>(H829+H830+H833)*E835</f>
        <v>#REF!</v>
      </c>
      <c r="I835" s="114"/>
      <c r="J835" s="110">
        <f>J817</f>
        <v>0</v>
      </c>
    </row>
    <row r="836" spans="1:10" s="55" customFormat="1" ht="17.100000000000001" hidden="1" customHeight="1">
      <c r="A836" s="50" t="e">
        <f t="shared" si="23"/>
        <v>#REF!</v>
      </c>
      <c r="B836" s="51"/>
      <c r="C836" s="51" t="s">
        <v>429</v>
      </c>
      <c r="D836" s="52" t="s">
        <v>430</v>
      </c>
      <c r="E836" s="1093">
        <f>bcks</f>
        <v>0.03</v>
      </c>
      <c r="F836" s="53"/>
      <c r="G836" s="113"/>
      <c r="H836" s="54" t="e">
        <f>(H829+H830+H833)*E836</f>
        <v>#REF!</v>
      </c>
      <c r="I836" s="114"/>
      <c r="J836" s="110">
        <f>J817</f>
        <v>0</v>
      </c>
    </row>
    <row r="837" spans="1:10" s="55" customFormat="1" ht="17.100000000000001" hidden="1" customHeight="1">
      <c r="A837" s="50" t="e">
        <f t="shared" si="23"/>
        <v>#REF!</v>
      </c>
      <c r="B837" s="51"/>
      <c r="C837" s="170" t="s">
        <v>565</v>
      </c>
      <c r="D837" s="171" t="s">
        <v>218</v>
      </c>
      <c r="E837" s="172" t="s">
        <v>566</v>
      </c>
      <c r="F837" s="53"/>
      <c r="G837" s="113"/>
      <c r="H837" s="173" t="e">
        <f>H829+H830+H833+H834</f>
        <v>#REF!</v>
      </c>
      <c r="I837" s="114"/>
      <c r="J837" s="110">
        <f>J817</f>
        <v>0</v>
      </c>
    </row>
    <row r="838" spans="1:10" s="55" customFormat="1" ht="17.100000000000001" hidden="1" customHeight="1">
      <c r="A838" s="50" t="e">
        <f t="shared" si="23"/>
        <v>#REF!</v>
      </c>
      <c r="B838" s="51"/>
      <c r="C838" s="51" t="s">
        <v>567</v>
      </c>
      <c r="D838" s="52" t="s">
        <v>222</v>
      </c>
      <c r="E838" s="112" t="s">
        <v>1917</v>
      </c>
      <c r="F838" s="174"/>
      <c r="G838" s="175"/>
      <c r="H838" s="54" t="e">
        <f>ROUND(H837*10/100,5)</f>
        <v>#REF!</v>
      </c>
      <c r="I838" s="114"/>
      <c r="J838" s="715">
        <f>J817</f>
        <v>0</v>
      </c>
    </row>
    <row r="839" spans="1:10" s="55" customFormat="1" ht="17.100000000000001" hidden="1" customHeight="1">
      <c r="A839" s="50" t="e">
        <f t="shared" si="23"/>
        <v>#REF!</v>
      </c>
      <c r="B839" s="51"/>
      <c r="C839" s="170" t="s">
        <v>568</v>
      </c>
      <c r="D839" s="171" t="s">
        <v>225</v>
      </c>
      <c r="E839" s="172" t="s">
        <v>192</v>
      </c>
      <c r="F839" s="53"/>
      <c r="G839" s="117"/>
      <c r="H839" s="56" t="e">
        <f>ROUND(H837+H838,5)</f>
        <v>#REF!</v>
      </c>
      <c r="I839" s="115"/>
      <c r="J839" s="715">
        <f>J817</f>
        <v>0</v>
      </c>
    </row>
    <row r="840" spans="1:10" s="263" customFormat="1" ht="17.100000000000001" hidden="1" customHeight="1">
      <c r="A840" s="264" t="e">
        <f t="shared" si="23"/>
        <v>#REF!</v>
      </c>
      <c r="B840" s="265" t="s">
        <v>326</v>
      </c>
      <c r="C840" s="265" t="s">
        <v>327</v>
      </c>
      <c r="D840" s="266" t="s">
        <v>310</v>
      </c>
      <c r="E840" s="270"/>
      <c r="F840" s="267"/>
      <c r="G840" s="271"/>
      <c r="H840" s="268" t="e">
        <f>H868</f>
        <v>#REF!</v>
      </c>
      <c r="I840" s="272"/>
      <c r="J840" s="273">
        <f>IF(SUMIF(Khaosat!$B$6:$B$47,'PT giaKS'!B840,Khaosat!$I$6:$I$47)&lt;&gt;0,$J$6,0)</f>
        <v>0</v>
      </c>
    </row>
    <row r="841" spans="1:10" s="55" customFormat="1" ht="17.100000000000001" hidden="1" customHeight="1">
      <c r="A841" s="50" t="e">
        <f t="shared" si="23"/>
        <v>#REF!</v>
      </c>
      <c r="B841" s="51"/>
      <c r="C841" s="51" t="s">
        <v>128</v>
      </c>
      <c r="D841" s="52" t="s">
        <v>0</v>
      </c>
      <c r="E841" s="112"/>
      <c r="F841" s="53"/>
      <c r="G841" s="117"/>
      <c r="H841" s="56">
        <f>ROUND(SUM(H842:H853),5)</f>
        <v>74039.992400000003</v>
      </c>
      <c r="I841" s="115"/>
      <c r="J841" s="110">
        <f>J840</f>
        <v>0</v>
      </c>
    </row>
    <row r="842" spans="1:10" s="55" customFormat="1" ht="17.100000000000001" hidden="1" customHeight="1">
      <c r="A842" s="50" t="e">
        <f t="shared" si="23"/>
        <v>#REF!</v>
      </c>
      <c r="B842" s="51"/>
      <c r="C842" s="51" t="s">
        <v>448</v>
      </c>
      <c r="D842" s="52" t="s">
        <v>82</v>
      </c>
      <c r="E842" s="112">
        <f>0.0075</f>
        <v>7.4999999999999997E-3</v>
      </c>
      <c r="F842" s="53">
        <f>VLKS!Q42</f>
        <v>200000</v>
      </c>
      <c r="G842" s="117">
        <f t="shared" ref="G842:G852" si="24">hsvl</f>
        <v>1</v>
      </c>
      <c r="H842" s="54">
        <f t="shared" ref="H842:H852" si="25">ROUND(E842*F842*G842,5)</f>
        <v>1500</v>
      </c>
      <c r="I842" s="114"/>
      <c r="J842" s="110">
        <f>J840</f>
        <v>0</v>
      </c>
    </row>
    <row r="843" spans="1:10" s="55" customFormat="1" ht="17.100000000000001" hidden="1" customHeight="1">
      <c r="A843" s="50" t="e">
        <f t="shared" si="23"/>
        <v>#REF!</v>
      </c>
      <c r="B843" s="51"/>
      <c r="C843" s="51" t="s">
        <v>449</v>
      </c>
      <c r="D843" s="52" t="s">
        <v>129</v>
      </c>
      <c r="E843" s="112">
        <f>0.0375</f>
        <v>3.7499999999999999E-2</v>
      </c>
      <c r="F843" s="53">
        <f>VLKS!Q24</f>
        <v>81818</v>
      </c>
      <c r="G843" s="117">
        <f t="shared" si="24"/>
        <v>1</v>
      </c>
      <c r="H843" s="54">
        <f t="shared" si="25"/>
        <v>3068.1750000000002</v>
      </c>
      <c r="I843" s="114"/>
      <c r="J843" s="110">
        <f>J840</f>
        <v>0</v>
      </c>
    </row>
    <row r="844" spans="1:10" s="55" customFormat="1" ht="17.100000000000001" hidden="1" customHeight="1">
      <c r="A844" s="50" t="e">
        <f t="shared" si="23"/>
        <v>#REF!</v>
      </c>
      <c r="B844" s="51"/>
      <c r="C844" s="51" t="s">
        <v>450</v>
      </c>
      <c r="D844" s="52" t="s">
        <v>451</v>
      </c>
      <c r="E844" s="112">
        <f>0.0125</f>
        <v>1.2500000000000001E-2</v>
      </c>
      <c r="F844" s="53">
        <f>VLKS!Q10</f>
        <v>180000</v>
      </c>
      <c r="G844" s="117">
        <f t="shared" si="24"/>
        <v>1</v>
      </c>
      <c r="H844" s="54">
        <f t="shared" si="25"/>
        <v>2250</v>
      </c>
      <c r="I844" s="114"/>
      <c r="J844" s="110">
        <f>J840</f>
        <v>0</v>
      </c>
    </row>
    <row r="845" spans="1:10" s="55" customFormat="1" ht="17.100000000000001" hidden="1" customHeight="1">
      <c r="A845" s="50" t="e">
        <f t="shared" si="23"/>
        <v>#REF!</v>
      </c>
      <c r="B845" s="51"/>
      <c r="C845" s="51" t="s">
        <v>452</v>
      </c>
      <c r="D845" s="52" t="s">
        <v>129</v>
      </c>
      <c r="E845" s="112">
        <f>0.11</f>
        <v>0.11</v>
      </c>
      <c r="F845" s="53">
        <f>VLKS!Q65</f>
        <v>130000</v>
      </c>
      <c r="G845" s="117">
        <f t="shared" si="24"/>
        <v>1</v>
      </c>
      <c r="H845" s="54">
        <f t="shared" si="25"/>
        <v>14300</v>
      </c>
      <c r="I845" s="114"/>
      <c r="J845" s="110">
        <f>J840</f>
        <v>0</v>
      </c>
    </row>
    <row r="846" spans="1:10" s="55" customFormat="1" ht="17.100000000000001" hidden="1" customHeight="1">
      <c r="A846" s="50" t="e">
        <f t="shared" si="23"/>
        <v>#REF!</v>
      </c>
      <c r="B846" s="51"/>
      <c r="C846" s="51" t="s">
        <v>453</v>
      </c>
      <c r="D846" s="52" t="s">
        <v>82</v>
      </c>
      <c r="E846" s="112">
        <f>0.05</f>
        <v>0.05</v>
      </c>
      <c r="F846" s="53">
        <f>VLKS!Q63</f>
        <v>100000</v>
      </c>
      <c r="G846" s="117">
        <f t="shared" si="24"/>
        <v>1</v>
      </c>
      <c r="H846" s="54">
        <f t="shared" si="25"/>
        <v>5000</v>
      </c>
      <c r="I846" s="114"/>
      <c r="J846" s="110">
        <f>J840</f>
        <v>0</v>
      </c>
    </row>
    <row r="847" spans="1:10" s="55" customFormat="1" ht="17.100000000000001" hidden="1" customHeight="1">
      <c r="A847" s="50" t="e">
        <f t="shared" si="23"/>
        <v>#REF!</v>
      </c>
      <c r="B847" s="51"/>
      <c r="C847" s="51" t="s">
        <v>454</v>
      </c>
      <c r="D847" s="52" t="s">
        <v>129</v>
      </c>
      <c r="E847" s="112">
        <f>0.05</f>
        <v>0.05</v>
      </c>
      <c r="F847" s="53">
        <f>VLKS!Q19</f>
        <v>10000</v>
      </c>
      <c r="G847" s="117">
        <f t="shared" si="24"/>
        <v>1</v>
      </c>
      <c r="H847" s="54">
        <f t="shared" si="25"/>
        <v>500</v>
      </c>
      <c r="I847" s="114"/>
      <c r="J847" s="110">
        <f>J840</f>
        <v>0</v>
      </c>
    </row>
    <row r="848" spans="1:10" s="55" customFormat="1" ht="17.100000000000001" hidden="1" customHeight="1">
      <c r="A848" s="50" t="e">
        <f t="shared" si="23"/>
        <v>#REF!</v>
      </c>
      <c r="B848" s="51"/>
      <c r="C848" s="51" t="s">
        <v>455</v>
      </c>
      <c r="D848" s="52" t="s">
        <v>82</v>
      </c>
      <c r="E848" s="112">
        <f>0.2</f>
        <v>0.2</v>
      </c>
      <c r="F848" s="53">
        <f>VLKS!Q39</f>
        <v>10000</v>
      </c>
      <c r="G848" s="117">
        <f t="shared" si="24"/>
        <v>1</v>
      </c>
      <c r="H848" s="54">
        <f t="shared" si="25"/>
        <v>2000</v>
      </c>
      <c r="I848" s="114"/>
      <c r="J848" s="110">
        <f>J840</f>
        <v>0</v>
      </c>
    </row>
    <row r="849" spans="1:10" s="55" customFormat="1" ht="17.100000000000001" hidden="1" customHeight="1">
      <c r="A849" s="50" t="e">
        <f t="shared" si="23"/>
        <v>#REF!</v>
      </c>
      <c r="B849" s="51"/>
      <c r="C849" s="51" t="s">
        <v>456</v>
      </c>
      <c r="D849" s="52" t="s">
        <v>82</v>
      </c>
      <c r="E849" s="112">
        <f>0.1</f>
        <v>0.1</v>
      </c>
      <c r="F849" s="53">
        <f>VLKS!Q37</f>
        <v>100000</v>
      </c>
      <c r="G849" s="117">
        <f t="shared" si="24"/>
        <v>1</v>
      </c>
      <c r="H849" s="54">
        <f t="shared" si="25"/>
        <v>10000</v>
      </c>
      <c r="I849" s="114"/>
      <c r="J849" s="110">
        <f>J840</f>
        <v>0</v>
      </c>
    </row>
    <row r="850" spans="1:10" s="55" customFormat="1" ht="17.100000000000001" hidden="1" customHeight="1">
      <c r="A850" s="50" t="e">
        <f t="shared" si="23"/>
        <v>#REF!</v>
      </c>
      <c r="B850" s="51"/>
      <c r="C850" s="51" t="s">
        <v>457</v>
      </c>
      <c r="D850" s="52" t="s">
        <v>82</v>
      </c>
      <c r="E850" s="112">
        <f>0.12</f>
        <v>0.12</v>
      </c>
      <c r="F850" s="53">
        <f>VLKS!Q38</f>
        <v>200000</v>
      </c>
      <c r="G850" s="117">
        <f t="shared" si="24"/>
        <v>1</v>
      </c>
      <c r="H850" s="54">
        <f t="shared" si="25"/>
        <v>24000</v>
      </c>
      <c r="I850" s="114"/>
      <c r="J850" s="110">
        <f>J840</f>
        <v>0</v>
      </c>
    </row>
    <row r="851" spans="1:10" s="55" customFormat="1" ht="17.100000000000001" hidden="1" customHeight="1">
      <c r="A851" s="50" t="e">
        <f t="shared" si="23"/>
        <v>#REF!</v>
      </c>
      <c r="B851" s="51"/>
      <c r="C851" s="51" t="s">
        <v>458</v>
      </c>
      <c r="D851" s="52" t="s">
        <v>451</v>
      </c>
      <c r="E851" s="112">
        <f>0.001</f>
        <v>1E-3</v>
      </c>
      <c r="F851" s="53">
        <f>VLKS!Q12</f>
        <v>600000</v>
      </c>
      <c r="G851" s="117">
        <f t="shared" si="24"/>
        <v>1</v>
      </c>
      <c r="H851" s="54">
        <f t="shared" si="25"/>
        <v>600</v>
      </c>
      <c r="I851" s="114"/>
      <c r="J851" s="110">
        <f>J840</f>
        <v>0</v>
      </c>
    </row>
    <row r="852" spans="1:10" s="55" customFormat="1" ht="17.100000000000001" hidden="1" customHeight="1">
      <c r="A852" s="50" t="e">
        <f t="shared" si="23"/>
        <v>#REF!</v>
      </c>
      <c r="B852" s="51"/>
      <c r="C852" s="51" t="s">
        <v>459</v>
      </c>
      <c r="D852" s="52" t="s">
        <v>7</v>
      </c>
      <c r="E852" s="112">
        <f>0.001</f>
        <v>1E-3</v>
      </c>
      <c r="F852" s="53">
        <f>VLKS!Q34</f>
        <v>4090909</v>
      </c>
      <c r="G852" s="117">
        <f t="shared" si="24"/>
        <v>1</v>
      </c>
      <c r="H852" s="54">
        <f t="shared" si="25"/>
        <v>4090.9090000000001</v>
      </c>
      <c r="I852" s="114"/>
      <c r="J852" s="110">
        <f>J840</f>
        <v>0</v>
      </c>
    </row>
    <row r="853" spans="1:10" s="55" customFormat="1" ht="17.100000000000001" hidden="1" customHeight="1">
      <c r="A853" s="50" t="e">
        <f t="shared" si="23"/>
        <v>#REF!</v>
      </c>
      <c r="B853" s="51"/>
      <c r="C853" s="51" t="s">
        <v>127</v>
      </c>
      <c r="D853" s="52" t="s">
        <v>126</v>
      </c>
      <c r="E853" s="112">
        <f>10</f>
        <v>10</v>
      </c>
      <c r="F853" s="53"/>
      <c r="G853" s="117"/>
      <c r="H853" s="54">
        <f>ROUND(SUM(H842:H852)*E853/100,5)</f>
        <v>6730.9084000000003</v>
      </c>
      <c r="I853" s="114"/>
      <c r="J853" s="110">
        <f>J840</f>
        <v>0</v>
      </c>
    </row>
    <row r="854" spans="1:10" s="55" customFormat="1" ht="17.100000000000001" hidden="1" customHeight="1">
      <c r="A854" s="50" t="e">
        <f t="shared" si="23"/>
        <v>#REF!</v>
      </c>
      <c r="B854" s="51"/>
      <c r="C854" s="51" t="s">
        <v>125</v>
      </c>
      <c r="D854" s="52" t="s">
        <v>0</v>
      </c>
      <c r="E854" s="112"/>
      <c r="F854" s="53"/>
      <c r="G854" s="117"/>
      <c r="H854" s="56" t="e">
        <f>ROUND(SUM(H855:H855),5)</f>
        <v>#REF!</v>
      </c>
      <c r="I854" s="115"/>
      <c r="J854" s="110">
        <f>J840</f>
        <v>0</v>
      </c>
    </row>
    <row r="855" spans="1:10" s="55" customFormat="1" ht="17.100000000000001" hidden="1" customHeight="1">
      <c r="A855" s="50" t="e">
        <f t="shared" si="23"/>
        <v>#REF!</v>
      </c>
      <c r="B855" s="51"/>
      <c r="C855" s="51" t="s">
        <v>424</v>
      </c>
      <c r="D855" s="52" t="s">
        <v>3</v>
      </c>
      <c r="E855" s="112">
        <f>2.24</f>
        <v>2.2400000000000002</v>
      </c>
      <c r="F855" s="53" t="e">
        <f>'NC,M KS'!P6</f>
        <v>#REF!</v>
      </c>
      <c r="G855" s="117">
        <f>hsnc</f>
        <v>1</v>
      </c>
      <c r="H855" s="54" t="e">
        <f>ROUND(E855*F855*G855,5)</f>
        <v>#REF!</v>
      </c>
      <c r="I855" s="114"/>
      <c r="J855" s="110">
        <f>J840</f>
        <v>0</v>
      </c>
    </row>
    <row r="856" spans="1:10" s="55" customFormat="1" ht="17.100000000000001" hidden="1" customHeight="1">
      <c r="A856" s="50" t="e">
        <f t="shared" si="23"/>
        <v>#REF!</v>
      </c>
      <c r="B856" s="51"/>
      <c r="C856" s="51" t="s">
        <v>124</v>
      </c>
      <c r="D856" s="52" t="s">
        <v>0</v>
      </c>
      <c r="E856" s="112"/>
      <c r="F856" s="53"/>
      <c r="G856" s="117"/>
      <c r="H856" s="56">
        <f>ROUND(SUM(H857:H857),5)</f>
        <v>10505.409439999999</v>
      </c>
      <c r="I856" s="115"/>
      <c r="J856" s="110">
        <f>J840</f>
        <v>0</v>
      </c>
    </row>
    <row r="857" spans="1:10" s="55" customFormat="1" ht="17.100000000000001" hidden="1" customHeight="1">
      <c r="A857" s="50" t="e">
        <f t="shared" si="23"/>
        <v>#REF!</v>
      </c>
      <c r="B857" s="51"/>
      <c r="C857" s="51" t="s">
        <v>460</v>
      </c>
      <c r="D857" s="52" t="s">
        <v>4</v>
      </c>
      <c r="E857" s="112">
        <f>0.22</f>
        <v>0.22</v>
      </c>
      <c r="F857" s="53">
        <f>'NC,M KS'!P9</f>
        <v>47751.861111111109</v>
      </c>
      <c r="G857" s="117">
        <f>hsm</f>
        <v>1</v>
      </c>
      <c r="H857" s="54">
        <f>ROUND(E857*F857*G857,5)</f>
        <v>10505.409439999999</v>
      </c>
      <c r="I857" s="114"/>
      <c r="J857" s="110">
        <f>J840</f>
        <v>0</v>
      </c>
    </row>
    <row r="858" spans="1:10" s="55" customFormat="1" ht="17.100000000000001" hidden="1" customHeight="1">
      <c r="A858" s="50" t="e">
        <f t="shared" si="23"/>
        <v>#REF!</v>
      </c>
      <c r="B858" s="51"/>
      <c r="C858" s="170" t="s">
        <v>556</v>
      </c>
      <c r="D858" s="171" t="s">
        <v>136</v>
      </c>
      <c r="E858" s="172" t="s">
        <v>205</v>
      </c>
      <c r="F858" s="53"/>
      <c r="G858" s="117"/>
      <c r="H858" s="173" t="e">
        <f>ROUND(H841+H854+H856,5)</f>
        <v>#REF!</v>
      </c>
      <c r="I858" s="114"/>
      <c r="J858" s="110">
        <f>J840</f>
        <v>0</v>
      </c>
    </row>
    <row r="859" spans="1:10" s="55" customFormat="1" ht="17.100000000000001" hidden="1" customHeight="1">
      <c r="A859" s="50" t="e">
        <f t="shared" si="23"/>
        <v>#REF!</v>
      </c>
      <c r="B859" s="51"/>
      <c r="C859" s="170" t="s">
        <v>557</v>
      </c>
      <c r="D859" s="171" t="s">
        <v>204</v>
      </c>
      <c r="E859" s="172" t="s">
        <v>558</v>
      </c>
      <c r="F859" s="53"/>
      <c r="G859" s="117"/>
      <c r="H859" s="173" t="e">
        <f>SUM(H860:H861)</f>
        <v>#REF!</v>
      </c>
      <c r="I859" s="114"/>
      <c r="J859" s="110">
        <f>J840</f>
        <v>0</v>
      </c>
    </row>
    <row r="860" spans="1:10" s="55" customFormat="1" ht="17.100000000000001" hidden="1" customHeight="1">
      <c r="A860" s="50" t="e">
        <f t="shared" si="23"/>
        <v>#REF!</v>
      </c>
      <c r="B860" s="51"/>
      <c r="C860" s="51" t="s">
        <v>426</v>
      </c>
      <c r="D860" s="52" t="s">
        <v>559</v>
      </c>
      <c r="E860" s="116">
        <f>cpc</f>
        <v>0.7</v>
      </c>
      <c r="F860" s="174"/>
      <c r="G860" s="175"/>
      <c r="H860" s="54" t="e">
        <f>E860*H854</f>
        <v>#REF!</v>
      </c>
      <c r="I860" s="114"/>
      <c r="J860" s="110">
        <f>J840</f>
        <v>0</v>
      </c>
    </row>
    <row r="861" spans="1:10" s="55" customFormat="1" ht="17.100000000000001" hidden="1" customHeight="1">
      <c r="A861" s="50" t="e">
        <f t="shared" si="23"/>
        <v>#REF!</v>
      </c>
      <c r="B861" s="51"/>
      <c r="C861" s="78" t="s">
        <v>560</v>
      </c>
      <c r="D861" s="79" t="s">
        <v>561</v>
      </c>
      <c r="E861" s="176">
        <f>hmc</f>
        <v>0.05</v>
      </c>
      <c r="F861" s="53"/>
      <c r="G861" s="113"/>
      <c r="H861" s="54" t="e">
        <f>E861*H858</f>
        <v>#REF!</v>
      </c>
      <c r="I861" s="114"/>
      <c r="J861" s="715">
        <f>J840</f>
        <v>0</v>
      </c>
    </row>
    <row r="862" spans="1:10" s="55" customFormat="1" ht="17.100000000000001" hidden="1" customHeight="1">
      <c r="A862" s="50" t="e">
        <f t="shared" si="23"/>
        <v>#REF!</v>
      </c>
      <c r="B862" s="51"/>
      <c r="C862" s="170" t="s">
        <v>562</v>
      </c>
      <c r="D862" s="171" t="s">
        <v>563</v>
      </c>
      <c r="E862" s="179">
        <f>tn</f>
        <v>0.06</v>
      </c>
      <c r="F862" s="177"/>
      <c r="G862" s="178"/>
      <c r="H862" s="181" t="e">
        <f>SUM(H858:H859)*E862</f>
        <v>#REF!</v>
      </c>
      <c r="I862" s="114"/>
      <c r="J862" s="715">
        <f>J840</f>
        <v>0</v>
      </c>
    </row>
    <row r="863" spans="1:10" s="55" customFormat="1" ht="17.100000000000001" hidden="1" customHeight="1">
      <c r="A863" s="50" t="e">
        <f t="shared" si="23"/>
        <v>#REF!</v>
      </c>
      <c r="B863" s="51"/>
      <c r="C863" s="92" t="s">
        <v>1879</v>
      </c>
      <c r="D863" s="171" t="s">
        <v>227</v>
      </c>
      <c r="E863" s="180" t="s">
        <v>564</v>
      </c>
      <c r="F863" s="174"/>
      <c r="G863" s="175"/>
      <c r="H863" s="173" t="e">
        <f>SUM(H864:H865)</f>
        <v>#REF!</v>
      </c>
      <c r="I863" s="114"/>
      <c r="J863" s="715">
        <f>J840</f>
        <v>0</v>
      </c>
    </row>
    <row r="864" spans="1:10" s="55" customFormat="1" ht="17.100000000000001" hidden="1" customHeight="1">
      <c r="A864" s="50" t="e">
        <f t="shared" si="23"/>
        <v>#REF!</v>
      </c>
      <c r="B864" s="51"/>
      <c r="C864" s="51" t="s">
        <v>427</v>
      </c>
      <c r="D864" s="52" t="s">
        <v>428</v>
      </c>
      <c r="E864" s="1093">
        <f>paks</f>
        <v>0</v>
      </c>
      <c r="F864" s="174"/>
      <c r="G864" s="175"/>
      <c r="H864" s="54" t="e">
        <f>(H858+H859+H862)*E864</f>
        <v>#REF!</v>
      </c>
      <c r="I864" s="114"/>
      <c r="J864" s="715">
        <f>J840</f>
        <v>0</v>
      </c>
    </row>
    <row r="865" spans="1:10" s="55" customFormat="1" ht="17.100000000000001" hidden="1" customHeight="1">
      <c r="A865" s="50" t="e">
        <f t="shared" si="23"/>
        <v>#REF!</v>
      </c>
      <c r="B865" s="51"/>
      <c r="C865" s="51" t="s">
        <v>429</v>
      </c>
      <c r="D865" s="52" t="s">
        <v>430</v>
      </c>
      <c r="E865" s="1093">
        <f>bcks</f>
        <v>0.03</v>
      </c>
      <c r="F865" s="53"/>
      <c r="G865" s="113"/>
      <c r="H865" s="54" t="e">
        <f>(H858+H859+H862)*E865</f>
        <v>#REF!</v>
      </c>
      <c r="I865" s="114"/>
      <c r="J865" s="715">
        <f>J840</f>
        <v>0</v>
      </c>
    </row>
    <row r="866" spans="1:10" s="55" customFormat="1" ht="17.100000000000001" hidden="1" customHeight="1">
      <c r="A866" s="50" t="e">
        <f t="shared" ref="A866:A929" si="26">IF(B866&lt;&gt;0,A865+J866,A865)</f>
        <v>#REF!</v>
      </c>
      <c r="B866" s="51"/>
      <c r="C866" s="170" t="s">
        <v>565</v>
      </c>
      <c r="D866" s="171" t="s">
        <v>218</v>
      </c>
      <c r="E866" s="172" t="s">
        <v>566</v>
      </c>
      <c r="F866" s="53"/>
      <c r="G866" s="113"/>
      <c r="H866" s="173" t="e">
        <f>H858+H859+H862+H863</f>
        <v>#REF!</v>
      </c>
      <c r="I866" s="114"/>
      <c r="J866" s="715">
        <f>J840</f>
        <v>0</v>
      </c>
    </row>
    <row r="867" spans="1:10" s="55" customFormat="1" ht="17.100000000000001" hidden="1" customHeight="1">
      <c r="A867" s="50" t="e">
        <f t="shared" si="26"/>
        <v>#REF!</v>
      </c>
      <c r="B867" s="51"/>
      <c r="C867" s="51" t="s">
        <v>567</v>
      </c>
      <c r="D867" s="52" t="s">
        <v>222</v>
      </c>
      <c r="E867" s="112" t="s">
        <v>1917</v>
      </c>
      <c r="F867" s="174"/>
      <c r="G867" s="175"/>
      <c r="H867" s="54" t="e">
        <f>ROUND(H866*10/100,5)</f>
        <v>#REF!</v>
      </c>
      <c r="I867" s="114"/>
      <c r="J867" s="715">
        <f>J840</f>
        <v>0</v>
      </c>
    </row>
    <row r="868" spans="1:10" s="55" customFormat="1" ht="17.100000000000001" hidden="1" customHeight="1">
      <c r="A868" s="50" t="e">
        <f t="shared" si="26"/>
        <v>#REF!</v>
      </c>
      <c r="B868" s="51"/>
      <c r="C868" s="170" t="s">
        <v>568</v>
      </c>
      <c r="D868" s="171" t="s">
        <v>225</v>
      </c>
      <c r="E868" s="172" t="s">
        <v>192</v>
      </c>
      <c r="F868" s="53"/>
      <c r="G868" s="117"/>
      <c r="H868" s="56" t="e">
        <f>ROUND(H866+H867,5)</f>
        <v>#REF!</v>
      </c>
      <c r="I868" s="115"/>
      <c r="J868" s="715">
        <f>J840</f>
        <v>0</v>
      </c>
    </row>
    <row r="869" spans="1:10" s="263" customFormat="1" ht="17.100000000000001" hidden="1" customHeight="1">
      <c r="A869" s="264" t="e">
        <f t="shared" si="26"/>
        <v>#REF!</v>
      </c>
      <c r="B869" s="265" t="s">
        <v>328</v>
      </c>
      <c r="C869" s="265" t="s">
        <v>329</v>
      </c>
      <c r="D869" s="266" t="s">
        <v>310</v>
      </c>
      <c r="E869" s="270"/>
      <c r="F869" s="267"/>
      <c r="G869" s="271"/>
      <c r="H869" s="268" t="e">
        <f>H897</f>
        <v>#REF!</v>
      </c>
      <c r="I869" s="272"/>
      <c r="J869" s="273">
        <f>IF(SUMIF(Khaosat!$B$6:$B$47,'PT giaKS'!B869,Khaosat!$I$6:$I$47)&lt;&gt;0,$J$6,0)</f>
        <v>0</v>
      </c>
    </row>
    <row r="870" spans="1:10" s="55" customFormat="1" ht="17.100000000000001" hidden="1" customHeight="1">
      <c r="A870" s="50" t="e">
        <f t="shared" si="26"/>
        <v>#REF!</v>
      </c>
      <c r="B870" s="51"/>
      <c r="C870" s="51" t="s">
        <v>128</v>
      </c>
      <c r="D870" s="52" t="s">
        <v>0</v>
      </c>
      <c r="E870" s="112"/>
      <c r="F870" s="53"/>
      <c r="G870" s="117"/>
      <c r="H870" s="56">
        <f>ROUND(SUM(H871:H882),5)</f>
        <v>74693.991899999994</v>
      </c>
      <c r="I870" s="115"/>
      <c r="J870" s="110">
        <f>J869</f>
        <v>0</v>
      </c>
    </row>
    <row r="871" spans="1:10" s="55" customFormat="1" ht="17.100000000000001" hidden="1" customHeight="1">
      <c r="A871" s="50" t="e">
        <f t="shared" si="26"/>
        <v>#REF!</v>
      </c>
      <c r="B871" s="51"/>
      <c r="C871" s="51" t="s">
        <v>448</v>
      </c>
      <c r="D871" s="52" t="s">
        <v>82</v>
      </c>
      <c r="E871" s="112">
        <f>0.009</f>
        <v>8.9999999999999993E-3</v>
      </c>
      <c r="F871" s="53">
        <f>VLKS!Q42</f>
        <v>200000</v>
      </c>
      <c r="G871" s="117">
        <f t="shared" ref="G871:G881" si="27">hsvl</f>
        <v>1</v>
      </c>
      <c r="H871" s="54">
        <f t="shared" ref="H871:H881" si="28">ROUND(E871*F871*G871,5)</f>
        <v>1800</v>
      </c>
      <c r="I871" s="114"/>
      <c r="J871" s="110">
        <f>J869</f>
        <v>0</v>
      </c>
    </row>
    <row r="872" spans="1:10" s="55" customFormat="1" ht="17.100000000000001" hidden="1" customHeight="1">
      <c r="A872" s="50" t="e">
        <f t="shared" si="26"/>
        <v>#REF!</v>
      </c>
      <c r="B872" s="51"/>
      <c r="C872" s="51" t="s">
        <v>449</v>
      </c>
      <c r="D872" s="52" t="s">
        <v>129</v>
      </c>
      <c r="E872" s="112">
        <f>0.04</f>
        <v>0.04</v>
      </c>
      <c r="F872" s="53">
        <f>VLKS!Q24</f>
        <v>81818</v>
      </c>
      <c r="G872" s="117">
        <f t="shared" si="27"/>
        <v>1</v>
      </c>
      <c r="H872" s="54">
        <f t="shared" si="28"/>
        <v>3272.72</v>
      </c>
      <c r="I872" s="114"/>
      <c r="J872" s="110">
        <f>J869</f>
        <v>0</v>
      </c>
    </row>
    <row r="873" spans="1:10" s="55" customFormat="1" ht="17.100000000000001" hidden="1" customHeight="1">
      <c r="A873" s="50" t="e">
        <f t="shared" si="26"/>
        <v>#REF!</v>
      </c>
      <c r="B873" s="51"/>
      <c r="C873" s="51" t="s">
        <v>450</v>
      </c>
      <c r="D873" s="52" t="s">
        <v>451</v>
      </c>
      <c r="E873" s="112">
        <f>0.013</f>
        <v>1.2999999999999999E-2</v>
      </c>
      <c r="F873" s="53">
        <f>VLKS!Q10</f>
        <v>180000</v>
      </c>
      <c r="G873" s="117">
        <f t="shared" si="27"/>
        <v>1</v>
      </c>
      <c r="H873" s="54">
        <f t="shared" si="28"/>
        <v>2340</v>
      </c>
      <c r="I873" s="114"/>
      <c r="J873" s="110">
        <f>J869</f>
        <v>0</v>
      </c>
    </row>
    <row r="874" spans="1:10" s="55" customFormat="1" ht="17.100000000000001" hidden="1" customHeight="1">
      <c r="A874" s="50" t="e">
        <f t="shared" si="26"/>
        <v>#REF!</v>
      </c>
      <c r="B874" s="51"/>
      <c r="C874" s="51" t="s">
        <v>452</v>
      </c>
      <c r="D874" s="52" t="s">
        <v>129</v>
      </c>
      <c r="E874" s="112">
        <f>0.11</f>
        <v>0.11</v>
      </c>
      <c r="F874" s="53">
        <f>VLKS!Q65</f>
        <v>130000</v>
      </c>
      <c r="G874" s="117">
        <f t="shared" si="27"/>
        <v>1</v>
      </c>
      <c r="H874" s="54">
        <f t="shared" si="28"/>
        <v>14300</v>
      </c>
      <c r="I874" s="114"/>
      <c r="J874" s="110">
        <f>J869</f>
        <v>0</v>
      </c>
    </row>
    <row r="875" spans="1:10" s="55" customFormat="1" ht="17.100000000000001" hidden="1" customHeight="1">
      <c r="A875" s="50" t="e">
        <f t="shared" si="26"/>
        <v>#REF!</v>
      </c>
      <c r="B875" s="51"/>
      <c r="C875" s="51" t="s">
        <v>453</v>
      </c>
      <c r="D875" s="52" t="s">
        <v>82</v>
      </c>
      <c r="E875" s="112">
        <f>0.05</f>
        <v>0.05</v>
      </c>
      <c r="F875" s="53">
        <f>VLKS!Q63</f>
        <v>100000</v>
      </c>
      <c r="G875" s="117">
        <f t="shared" si="27"/>
        <v>1</v>
      </c>
      <c r="H875" s="54">
        <f t="shared" si="28"/>
        <v>5000</v>
      </c>
      <c r="I875" s="114"/>
      <c r="J875" s="110">
        <f>J869</f>
        <v>0</v>
      </c>
    </row>
    <row r="876" spans="1:10" s="55" customFormat="1" ht="17.100000000000001" hidden="1" customHeight="1">
      <c r="A876" s="50" t="e">
        <f t="shared" si="26"/>
        <v>#REF!</v>
      </c>
      <c r="B876" s="51"/>
      <c r="C876" s="51" t="s">
        <v>454</v>
      </c>
      <c r="D876" s="52" t="s">
        <v>129</v>
      </c>
      <c r="E876" s="112">
        <f>0.05</f>
        <v>0.05</v>
      </c>
      <c r="F876" s="53">
        <f>VLKS!Q19</f>
        <v>10000</v>
      </c>
      <c r="G876" s="117">
        <f t="shared" si="27"/>
        <v>1</v>
      </c>
      <c r="H876" s="54">
        <f t="shared" si="28"/>
        <v>500</v>
      </c>
      <c r="I876" s="114"/>
      <c r="J876" s="110">
        <f>J869</f>
        <v>0</v>
      </c>
    </row>
    <row r="877" spans="1:10" s="55" customFormat="1" ht="17.100000000000001" hidden="1" customHeight="1">
      <c r="A877" s="50" t="e">
        <f t="shared" si="26"/>
        <v>#REF!</v>
      </c>
      <c r="B877" s="51"/>
      <c r="C877" s="51" t="s">
        <v>455</v>
      </c>
      <c r="D877" s="52" t="s">
        <v>82</v>
      </c>
      <c r="E877" s="112">
        <f>0.2</f>
        <v>0.2</v>
      </c>
      <c r="F877" s="53">
        <f>VLKS!Q39</f>
        <v>10000</v>
      </c>
      <c r="G877" s="117">
        <f t="shared" si="27"/>
        <v>1</v>
      </c>
      <c r="H877" s="54">
        <f t="shared" si="28"/>
        <v>2000</v>
      </c>
      <c r="I877" s="114"/>
      <c r="J877" s="110">
        <f>J869</f>
        <v>0</v>
      </c>
    </row>
    <row r="878" spans="1:10" s="55" customFormat="1" ht="17.100000000000001" hidden="1" customHeight="1">
      <c r="A878" s="50" t="e">
        <f t="shared" si="26"/>
        <v>#REF!</v>
      </c>
      <c r="B878" s="51"/>
      <c r="C878" s="51" t="s">
        <v>456</v>
      </c>
      <c r="D878" s="52" t="s">
        <v>82</v>
      </c>
      <c r="E878" s="112">
        <f>0.1</f>
        <v>0.1</v>
      </c>
      <c r="F878" s="53">
        <f>VLKS!Q37</f>
        <v>100000</v>
      </c>
      <c r="G878" s="117">
        <f t="shared" si="27"/>
        <v>1</v>
      </c>
      <c r="H878" s="54">
        <f t="shared" si="28"/>
        <v>10000</v>
      </c>
      <c r="I878" s="114"/>
      <c r="J878" s="110">
        <f>J869</f>
        <v>0</v>
      </c>
    </row>
    <row r="879" spans="1:10" s="55" customFormat="1" ht="17.100000000000001" hidden="1" customHeight="1">
      <c r="A879" s="50" t="e">
        <f t="shared" si="26"/>
        <v>#REF!</v>
      </c>
      <c r="B879" s="51"/>
      <c r="C879" s="51" t="s">
        <v>457</v>
      </c>
      <c r="D879" s="52" t="s">
        <v>82</v>
      </c>
      <c r="E879" s="112">
        <f>0.12</f>
        <v>0.12</v>
      </c>
      <c r="F879" s="53">
        <f>VLKS!Q38</f>
        <v>200000</v>
      </c>
      <c r="G879" s="117">
        <f t="shared" si="27"/>
        <v>1</v>
      </c>
      <c r="H879" s="54">
        <f t="shared" si="28"/>
        <v>24000</v>
      </c>
      <c r="I879" s="114"/>
      <c r="J879" s="110">
        <f>J869</f>
        <v>0</v>
      </c>
    </row>
    <row r="880" spans="1:10" s="55" customFormat="1" ht="17.100000000000001" hidden="1" customHeight="1">
      <c r="A880" s="50" t="e">
        <f t="shared" si="26"/>
        <v>#REF!</v>
      </c>
      <c r="B880" s="51"/>
      <c r="C880" s="51" t="s">
        <v>458</v>
      </c>
      <c r="D880" s="52" t="s">
        <v>451</v>
      </c>
      <c r="E880" s="112">
        <f>0.001</f>
        <v>1E-3</v>
      </c>
      <c r="F880" s="53">
        <f>VLKS!Q12</f>
        <v>600000</v>
      </c>
      <c r="G880" s="117">
        <f t="shared" si="27"/>
        <v>1</v>
      </c>
      <c r="H880" s="54">
        <f t="shared" si="28"/>
        <v>600</v>
      </c>
      <c r="I880" s="114"/>
      <c r="J880" s="110">
        <f>J869</f>
        <v>0</v>
      </c>
    </row>
    <row r="881" spans="1:10" s="55" customFormat="1" ht="17.100000000000001" hidden="1" customHeight="1">
      <c r="A881" s="50" t="e">
        <f t="shared" si="26"/>
        <v>#REF!</v>
      </c>
      <c r="B881" s="51"/>
      <c r="C881" s="51" t="s">
        <v>459</v>
      </c>
      <c r="D881" s="52" t="s">
        <v>7</v>
      </c>
      <c r="E881" s="112">
        <f>0.001</f>
        <v>1E-3</v>
      </c>
      <c r="F881" s="53">
        <f>VLKS!Q34</f>
        <v>4090909</v>
      </c>
      <c r="G881" s="117">
        <f t="shared" si="27"/>
        <v>1</v>
      </c>
      <c r="H881" s="54">
        <f t="shared" si="28"/>
        <v>4090.9090000000001</v>
      </c>
      <c r="I881" s="114"/>
      <c r="J881" s="110">
        <f>J869</f>
        <v>0</v>
      </c>
    </row>
    <row r="882" spans="1:10" s="55" customFormat="1" ht="17.100000000000001" hidden="1" customHeight="1">
      <c r="A882" s="50" t="e">
        <f t="shared" si="26"/>
        <v>#REF!</v>
      </c>
      <c r="B882" s="51"/>
      <c r="C882" s="51" t="s">
        <v>127</v>
      </c>
      <c r="D882" s="52" t="s">
        <v>126</v>
      </c>
      <c r="E882" s="112">
        <f>10</f>
        <v>10</v>
      </c>
      <c r="F882" s="53"/>
      <c r="G882" s="117"/>
      <c r="H882" s="54">
        <f>ROUND(SUM(H871:H881)*E882/100,5)</f>
        <v>6790.3629000000001</v>
      </c>
      <c r="I882" s="114"/>
      <c r="J882" s="110">
        <f>J869</f>
        <v>0</v>
      </c>
    </row>
    <row r="883" spans="1:10" s="55" customFormat="1" ht="17.100000000000001" hidden="1" customHeight="1">
      <c r="A883" s="50" t="e">
        <f t="shared" si="26"/>
        <v>#REF!</v>
      </c>
      <c r="B883" s="51"/>
      <c r="C883" s="51" t="s">
        <v>125</v>
      </c>
      <c r="D883" s="52" t="s">
        <v>0</v>
      </c>
      <c r="E883" s="112"/>
      <c r="F883" s="53"/>
      <c r="G883" s="117"/>
      <c r="H883" s="56" t="e">
        <f>ROUND(SUM(H884:H884),5)</f>
        <v>#REF!</v>
      </c>
      <c r="I883" s="115"/>
      <c r="J883" s="110">
        <f>J869</f>
        <v>0</v>
      </c>
    </row>
    <row r="884" spans="1:10" s="55" customFormat="1" ht="17.100000000000001" hidden="1" customHeight="1">
      <c r="A884" s="50" t="e">
        <f t="shared" si="26"/>
        <v>#REF!</v>
      </c>
      <c r="B884" s="51"/>
      <c r="C884" s="51" t="s">
        <v>424</v>
      </c>
      <c r="D884" s="52" t="s">
        <v>3</v>
      </c>
      <c r="E884" s="112">
        <f>3.7</f>
        <v>3.7</v>
      </c>
      <c r="F884" s="53" t="e">
        <f>'NC,M KS'!P6</f>
        <v>#REF!</v>
      </c>
      <c r="G884" s="117">
        <f>hsnc</f>
        <v>1</v>
      </c>
      <c r="H884" s="54" t="e">
        <f>ROUND(E884*F884*G884,5)</f>
        <v>#REF!</v>
      </c>
      <c r="I884" s="114"/>
      <c r="J884" s="110">
        <f>J869</f>
        <v>0</v>
      </c>
    </row>
    <row r="885" spans="1:10" s="55" customFormat="1" ht="17.100000000000001" hidden="1" customHeight="1">
      <c r="A885" s="50" t="e">
        <f t="shared" si="26"/>
        <v>#REF!</v>
      </c>
      <c r="B885" s="51"/>
      <c r="C885" s="51" t="s">
        <v>124</v>
      </c>
      <c r="D885" s="52" t="s">
        <v>0</v>
      </c>
      <c r="E885" s="112"/>
      <c r="F885" s="53"/>
      <c r="G885" s="117"/>
      <c r="H885" s="56">
        <f>ROUND(SUM(H886:H886),5)</f>
        <v>15758.114170000001</v>
      </c>
      <c r="I885" s="115"/>
      <c r="J885" s="110">
        <f>J869</f>
        <v>0</v>
      </c>
    </row>
    <row r="886" spans="1:10" s="55" customFormat="1" ht="17.100000000000001" hidden="1" customHeight="1">
      <c r="A886" s="50" t="e">
        <f t="shared" si="26"/>
        <v>#REF!</v>
      </c>
      <c r="B886" s="51"/>
      <c r="C886" s="51" t="s">
        <v>460</v>
      </c>
      <c r="D886" s="52" t="s">
        <v>4</v>
      </c>
      <c r="E886" s="112">
        <f>0.33</f>
        <v>0.33</v>
      </c>
      <c r="F886" s="53">
        <f>'NC,M KS'!P9</f>
        <v>47751.861111111109</v>
      </c>
      <c r="G886" s="117">
        <f>hsm</f>
        <v>1</v>
      </c>
      <c r="H886" s="54">
        <f>ROUND(E886*F886*G886,5)</f>
        <v>15758.114170000001</v>
      </c>
      <c r="I886" s="114"/>
      <c r="J886" s="110">
        <f>J869</f>
        <v>0</v>
      </c>
    </row>
    <row r="887" spans="1:10" s="55" customFormat="1" ht="17.100000000000001" hidden="1" customHeight="1">
      <c r="A887" s="50" t="e">
        <f t="shared" si="26"/>
        <v>#REF!</v>
      </c>
      <c r="B887" s="51"/>
      <c r="C887" s="170" t="s">
        <v>556</v>
      </c>
      <c r="D887" s="171" t="s">
        <v>136</v>
      </c>
      <c r="E887" s="172" t="s">
        <v>205</v>
      </c>
      <c r="F887" s="53"/>
      <c r="G887" s="117"/>
      <c r="H887" s="173" t="e">
        <f>ROUND(H870+H883+H885,5)</f>
        <v>#REF!</v>
      </c>
      <c r="I887" s="114"/>
      <c r="J887" s="110">
        <f>J869</f>
        <v>0</v>
      </c>
    </row>
    <row r="888" spans="1:10" s="55" customFormat="1" ht="17.100000000000001" hidden="1" customHeight="1">
      <c r="A888" s="50" t="e">
        <f t="shared" si="26"/>
        <v>#REF!</v>
      </c>
      <c r="B888" s="51"/>
      <c r="C888" s="170" t="s">
        <v>557</v>
      </c>
      <c r="D888" s="171" t="s">
        <v>204</v>
      </c>
      <c r="E888" s="172" t="s">
        <v>558</v>
      </c>
      <c r="F888" s="53"/>
      <c r="G888" s="117"/>
      <c r="H888" s="173" t="e">
        <f>SUM(H889:H890)</f>
        <v>#REF!</v>
      </c>
      <c r="I888" s="114"/>
      <c r="J888" s="110">
        <f>J869</f>
        <v>0</v>
      </c>
    </row>
    <row r="889" spans="1:10" s="55" customFormat="1" ht="17.100000000000001" hidden="1" customHeight="1">
      <c r="A889" s="50" t="e">
        <f t="shared" si="26"/>
        <v>#REF!</v>
      </c>
      <c r="B889" s="51"/>
      <c r="C889" s="51" t="s">
        <v>426</v>
      </c>
      <c r="D889" s="52" t="s">
        <v>559</v>
      </c>
      <c r="E889" s="116">
        <f>cpc</f>
        <v>0.7</v>
      </c>
      <c r="F889" s="174"/>
      <c r="G889" s="175"/>
      <c r="H889" s="54" t="e">
        <f>E889*H883</f>
        <v>#REF!</v>
      </c>
      <c r="I889" s="114"/>
      <c r="J889" s="110">
        <f>J869</f>
        <v>0</v>
      </c>
    </row>
    <row r="890" spans="1:10" s="55" customFormat="1" ht="17.100000000000001" hidden="1" customHeight="1">
      <c r="A890" s="50" t="e">
        <f t="shared" si="26"/>
        <v>#REF!</v>
      </c>
      <c r="B890" s="51"/>
      <c r="C890" s="78" t="s">
        <v>560</v>
      </c>
      <c r="D890" s="79" t="s">
        <v>561</v>
      </c>
      <c r="E890" s="176">
        <f>hmc</f>
        <v>0.05</v>
      </c>
      <c r="F890" s="53"/>
      <c r="G890" s="113"/>
      <c r="H890" s="54" t="e">
        <f>E890*H887</f>
        <v>#REF!</v>
      </c>
      <c r="I890" s="114"/>
      <c r="J890" s="715">
        <f>J869</f>
        <v>0</v>
      </c>
    </row>
    <row r="891" spans="1:10" s="55" customFormat="1" ht="17.100000000000001" hidden="1" customHeight="1">
      <c r="A891" s="50" t="e">
        <f t="shared" si="26"/>
        <v>#REF!</v>
      </c>
      <c r="B891" s="51"/>
      <c r="C891" s="170" t="s">
        <v>562</v>
      </c>
      <c r="D891" s="171" t="s">
        <v>563</v>
      </c>
      <c r="E891" s="179">
        <f>tn</f>
        <v>0.06</v>
      </c>
      <c r="F891" s="177"/>
      <c r="G891" s="178"/>
      <c r="H891" s="181" t="e">
        <f>SUM(H887:H888)*E891</f>
        <v>#REF!</v>
      </c>
      <c r="I891" s="114"/>
      <c r="J891" s="715">
        <f>J869</f>
        <v>0</v>
      </c>
    </row>
    <row r="892" spans="1:10" s="55" customFormat="1" ht="17.100000000000001" hidden="1" customHeight="1">
      <c r="A892" s="50" t="e">
        <f t="shared" si="26"/>
        <v>#REF!</v>
      </c>
      <c r="B892" s="51"/>
      <c r="C892" s="92" t="s">
        <v>1879</v>
      </c>
      <c r="D892" s="171" t="s">
        <v>227</v>
      </c>
      <c r="E892" s="180" t="s">
        <v>564</v>
      </c>
      <c r="F892" s="174"/>
      <c r="G892" s="175"/>
      <c r="H892" s="173" t="e">
        <f>SUM(H893:H894)</f>
        <v>#REF!</v>
      </c>
      <c r="I892" s="114"/>
      <c r="J892" s="715">
        <f>J869</f>
        <v>0</v>
      </c>
    </row>
    <row r="893" spans="1:10" s="55" customFormat="1" ht="17.100000000000001" hidden="1" customHeight="1">
      <c r="A893" s="50" t="e">
        <f t="shared" si="26"/>
        <v>#REF!</v>
      </c>
      <c r="B893" s="51"/>
      <c r="C893" s="51" t="s">
        <v>427</v>
      </c>
      <c r="D893" s="52" t="s">
        <v>428</v>
      </c>
      <c r="E893" s="1093">
        <f>paks</f>
        <v>0</v>
      </c>
      <c r="F893" s="174"/>
      <c r="G893" s="175"/>
      <c r="H893" s="54" t="e">
        <f>(H887+H888+H891)*E893</f>
        <v>#REF!</v>
      </c>
      <c r="I893" s="114"/>
      <c r="J893" s="715">
        <f>J869</f>
        <v>0</v>
      </c>
    </row>
    <row r="894" spans="1:10" s="55" customFormat="1" ht="17.100000000000001" hidden="1" customHeight="1">
      <c r="A894" s="50" t="e">
        <f t="shared" si="26"/>
        <v>#REF!</v>
      </c>
      <c r="B894" s="51"/>
      <c r="C894" s="51" t="s">
        <v>429</v>
      </c>
      <c r="D894" s="52" t="s">
        <v>430</v>
      </c>
      <c r="E894" s="1093">
        <f>bcks</f>
        <v>0.03</v>
      </c>
      <c r="F894" s="53"/>
      <c r="G894" s="113"/>
      <c r="H894" s="54" t="e">
        <f>(H887+H888+H891)*E894</f>
        <v>#REF!</v>
      </c>
      <c r="I894" s="114"/>
      <c r="J894" s="715">
        <f>J869</f>
        <v>0</v>
      </c>
    </row>
    <row r="895" spans="1:10" s="55" customFormat="1" ht="17.100000000000001" hidden="1" customHeight="1">
      <c r="A895" s="50" t="e">
        <f t="shared" si="26"/>
        <v>#REF!</v>
      </c>
      <c r="B895" s="51"/>
      <c r="C895" s="170" t="s">
        <v>565</v>
      </c>
      <c r="D895" s="171" t="s">
        <v>218</v>
      </c>
      <c r="E895" s="172" t="s">
        <v>566</v>
      </c>
      <c r="F895" s="53"/>
      <c r="G895" s="113"/>
      <c r="H895" s="173" t="e">
        <f>H887+H888+H891+H892</f>
        <v>#REF!</v>
      </c>
      <c r="I895" s="114"/>
      <c r="J895" s="715">
        <f>J869</f>
        <v>0</v>
      </c>
    </row>
    <row r="896" spans="1:10" s="55" customFormat="1" ht="17.100000000000001" hidden="1" customHeight="1">
      <c r="A896" s="50" t="e">
        <f t="shared" si="26"/>
        <v>#REF!</v>
      </c>
      <c r="B896" s="51"/>
      <c r="C896" s="51" t="s">
        <v>567</v>
      </c>
      <c r="D896" s="52" t="s">
        <v>222</v>
      </c>
      <c r="E896" s="112" t="s">
        <v>1917</v>
      </c>
      <c r="F896" s="174"/>
      <c r="G896" s="175"/>
      <c r="H896" s="54" t="e">
        <f>ROUND(H895*10/100,5)</f>
        <v>#REF!</v>
      </c>
      <c r="I896" s="114"/>
      <c r="J896" s="715">
        <f>J869</f>
        <v>0</v>
      </c>
    </row>
    <row r="897" spans="1:10" s="55" customFormat="1" ht="17.100000000000001" hidden="1" customHeight="1">
      <c r="A897" s="50" t="e">
        <f t="shared" si="26"/>
        <v>#REF!</v>
      </c>
      <c r="B897" s="51"/>
      <c r="C897" s="170" t="s">
        <v>568</v>
      </c>
      <c r="D897" s="171" t="s">
        <v>225</v>
      </c>
      <c r="E897" s="172" t="s">
        <v>192</v>
      </c>
      <c r="F897" s="53"/>
      <c r="G897" s="117"/>
      <c r="H897" s="56" t="e">
        <f>ROUND(H895+H896,5)</f>
        <v>#REF!</v>
      </c>
      <c r="I897" s="115"/>
      <c r="J897" s="715">
        <f>J869</f>
        <v>0</v>
      </c>
    </row>
    <row r="898" spans="1:10" s="263" customFormat="1" ht="17.100000000000001" hidden="1" customHeight="1">
      <c r="A898" s="264" t="e">
        <f t="shared" si="26"/>
        <v>#REF!</v>
      </c>
      <c r="B898" s="265" t="s">
        <v>379</v>
      </c>
      <c r="C898" s="265" t="s">
        <v>380</v>
      </c>
      <c r="D898" s="266" t="s">
        <v>310</v>
      </c>
      <c r="E898" s="270"/>
      <c r="F898" s="267"/>
      <c r="G898" s="271"/>
      <c r="H898" s="268" t="e">
        <f>H926</f>
        <v>#REF!</v>
      </c>
      <c r="I898" s="272"/>
      <c r="J898" s="273">
        <f>IF(SUMIF(Khaosat!$B$6:$B$47,'PT giaKS'!B898,Khaosat!$I$6:$I$47)&lt;&gt;0,$J$6,0)</f>
        <v>0</v>
      </c>
    </row>
    <row r="899" spans="1:10" s="55" customFormat="1" ht="17.100000000000001" hidden="1" customHeight="1">
      <c r="A899" s="50" t="e">
        <f t="shared" si="26"/>
        <v>#REF!</v>
      </c>
      <c r="B899" s="51"/>
      <c r="C899" s="51" t="s">
        <v>128</v>
      </c>
      <c r="D899" s="52" t="s">
        <v>0</v>
      </c>
      <c r="E899" s="112"/>
      <c r="F899" s="53"/>
      <c r="G899" s="117"/>
      <c r="H899" s="56">
        <f>ROUND(SUM(H900:H911),5)</f>
        <v>74493.992100000003</v>
      </c>
      <c r="I899" s="115"/>
      <c r="J899" s="110">
        <f>J898</f>
        <v>0</v>
      </c>
    </row>
    <row r="900" spans="1:10" s="55" customFormat="1" ht="17.100000000000001" hidden="1" customHeight="1">
      <c r="A900" s="50" t="e">
        <f t="shared" si="26"/>
        <v>#REF!</v>
      </c>
      <c r="B900" s="51"/>
      <c r="C900" s="51" t="s">
        <v>448</v>
      </c>
      <c r="D900" s="52" t="s">
        <v>82</v>
      </c>
      <c r="E900" s="112">
        <f>0.0075</f>
        <v>7.4999999999999997E-3</v>
      </c>
      <c r="F900" s="53">
        <f>VLKS!Q42</f>
        <v>200000</v>
      </c>
      <c r="G900" s="117">
        <f t="shared" ref="G900:G910" si="29">hsvl</f>
        <v>1</v>
      </c>
      <c r="H900" s="54">
        <f t="shared" ref="H900:H910" si="30">ROUND(E900*F900*G900,5)</f>
        <v>1500</v>
      </c>
      <c r="I900" s="114"/>
      <c r="J900" s="110">
        <f>J898</f>
        <v>0</v>
      </c>
    </row>
    <row r="901" spans="1:10" s="55" customFormat="1" ht="17.100000000000001" hidden="1" customHeight="1">
      <c r="A901" s="50" t="e">
        <f t="shared" si="26"/>
        <v>#REF!</v>
      </c>
      <c r="B901" s="51"/>
      <c r="C901" s="51" t="s">
        <v>449</v>
      </c>
      <c r="D901" s="52" t="s">
        <v>129</v>
      </c>
      <c r="E901" s="112">
        <f>0.039</f>
        <v>3.9E-2</v>
      </c>
      <c r="F901" s="53">
        <f>VLKS!Q24</f>
        <v>81818</v>
      </c>
      <c r="G901" s="117">
        <f t="shared" si="29"/>
        <v>1</v>
      </c>
      <c r="H901" s="54">
        <f t="shared" si="30"/>
        <v>3190.902</v>
      </c>
      <c r="I901" s="114"/>
      <c r="J901" s="110">
        <f>J898</f>
        <v>0</v>
      </c>
    </row>
    <row r="902" spans="1:10" s="55" customFormat="1" ht="17.100000000000001" hidden="1" customHeight="1">
      <c r="A902" s="50" t="e">
        <f t="shared" si="26"/>
        <v>#REF!</v>
      </c>
      <c r="B902" s="51"/>
      <c r="C902" s="51" t="s">
        <v>450</v>
      </c>
      <c r="D902" s="52" t="s">
        <v>451</v>
      </c>
      <c r="E902" s="112">
        <f>0.013</f>
        <v>1.2999999999999999E-2</v>
      </c>
      <c r="F902" s="53">
        <f>VLKS!Q10</f>
        <v>180000</v>
      </c>
      <c r="G902" s="117">
        <f t="shared" si="29"/>
        <v>1</v>
      </c>
      <c r="H902" s="54">
        <f t="shared" si="30"/>
        <v>2340</v>
      </c>
      <c r="I902" s="114"/>
      <c r="J902" s="110">
        <f>J898</f>
        <v>0</v>
      </c>
    </row>
    <row r="903" spans="1:10" s="55" customFormat="1" ht="17.100000000000001" hidden="1" customHeight="1">
      <c r="A903" s="50" t="e">
        <f t="shared" si="26"/>
        <v>#REF!</v>
      </c>
      <c r="B903" s="51"/>
      <c r="C903" s="51" t="s">
        <v>452</v>
      </c>
      <c r="D903" s="52" t="s">
        <v>129</v>
      </c>
      <c r="E903" s="112">
        <f>0.11</f>
        <v>0.11</v>
      </c>
      <c r="F903" s="53">
        <f>VLKS!Q65</f>
        <v>130000</v>
      </c>
      <c r="G903" s="117">
        <f t="shared" si="29"/>
        <v>1</v>
      </c>
      <c r="H903" s="54">
        <f t="shared" si="30"/>
        <v>14300</v>
      </c>
      <c r="I903" s="114"/>
      <c r="J903" s="110">
        <f>J898</f>
        <v>0</v>
      </c>
    </row>
    <row r="904" spans="1:10" s="55" customFormat="1" ht="17.100000000000001" hidden="1" customHeight="1">
      <c r="A904" s="50" t="e">
        <f t="shared" si="26"/>
        <v>#REF!</v>
      </c>
      <c r="B904" s="51"/>
      <c r="C904" s="51" t="s">
        <v>453</v>
      </c>
      <c r="D904" s="52" t="s">
        <v>82</v>
      </c>
      <c r="E904" s="112">
        <f>0.05</f>
        <v>0.05</v>
      </c>
      <c r="F904" s="53">
        <f>VLKS!Q63</f>
        <v>100000</v>
      </c>
      <c r="G904" s="117">
        <f t="shared" si="29"/>
        <v>1</v>
      </c>
      <c r="H904" s="54">
        <f t="shared" si="30"/>
        <v>5000</v>
      </c>
      <c r="I904" s="114"/>
      <c r="J904" s="110">
        <f>J898</f>
        <v>0</v>
      </c>
    </row>
    <row r="905" spans="1:10" s="55" customFormat="1" ht="17.100000000000001" hidden="1" customHeight="1">
      <c r="A905" s="50" t="e">
        <f t="shared" si="26"/>
        <v>#REF!</v>
      </c>
      <c r="B905" s="51"/>
      <c r="C905" s="51" t="s">
        <v>454</v>
      </c>
      <c r="D905" s="52" t="s">
        <v>129</v>
      </c>
      <c r="E905" s="112">
        <f>0.07</f>
        <v>7.0000000000000007E-2</v>
      </c>
      <c r="F905" s="53">
        <f>VLKS!Q19</f>
        <v>10000</v>
      </c>
      <c r="G905" s="117">
        <f t="shared" si="29"/>
        <v>1</v>
      </c>
      <c r="H905" s="54">
        <f t="shared" si="30"/>
        <v>700</v>
      </c>
      <c r="I905" s="114"/>
      <c r="J905" s="110">
        <f>J898</f>
        <v>0</v>
      </c>
    </row>
    <row r="906" spans="1:10" s="55" customFormat="1" ht="17.100000000000001" hidden="1" customHeight="1">
      <c r="A906" s="50" t="e">
        <f t="shared" si="26"/>
        <v>#REF!</v>
      </c>
      <c r="B906" s="51"/>
      <c r="C906" s="51" t="s">
        <v>455</v>
      </c>
      <c r="D906" s="52" t="s">
        <v>82</v>
      </c>
      <c r="E906" s="112">
        <f>0.2</f>
        <v>0.2</v>
      </c>
      <c r="F906" s="53">
        <f>VLKS!Q39</f>
        <v>10000</v>
      </c>
      <c r="G906" s="117">
        <f t="shared" si="29"/>
        <v>1</v>
      </c>
      <c r="H906" s="54">
        <f t="shared" si="30"/>
        <v>2000</v>
      </c>
      <c r="I906" s="114"/>
      <c r="J906" s="110">
        <f>J898</f>
        <v>0</v>
      </c>
    </row>
    <row r="907" spans="1:10" s="55" customFormat="1" ht="17.100000000000001" hidden="1" customHeight="1">
      <c r="A907" s="50" t="e">
        <f t="shared" si="26"/>
        <v>#REF!</v>
      </c>
      <c r="B907" s="51"/>
      <c r="C907" s="51" t="s">
        <v>456</v>
      </c>
      <c r="D907" s="52" t="s">
        <v>82</v>
      </c>
      <c r="E907" s="112">
        <f>0.1</f>
        <v>0.1</v>
      </c>
      <c r="F907" s="53">
        <f>VLKS!Q37</f>
        <v>100000</v>
      </c>
      <c r="G907" s="117">
        <f t="shared" si="29"/>
        <v>1</v>
      </c>
      <c r="H907" s="54">
        <f t="shared" si="30"/>
        <v>10000</v>
      </c>
      <c r="I907" s="114"/>
      <c r="J907" s="110">
        <f>J898</f>
        <v>0</v>
      </c>
    </row>
    <row r="908" spans="1:10" s="55" customFormat="1" ht="17.100000000000001" hidden="1" customHeight="1">
      <c r="A908" s="50" t="e">
        <f t="shared" si="26"/>
        <v>#REF!</v>
      </c>
      <c r="B908" s="51"/>
      <c r="C908" s="51" t="s">
        <v>457</v>
      </c>
      <c r="D908" s="52" t="s">
        <v>82</v>
      </c>
      <c r="E908" s="112">
        <f>0.12</f>
        <v>0.12</v>
      </c>
      <c r="F908" s="53">
        <f>VLKS!Q38</f>
        <v>200000</v>
      </c>
      <c r="G908" s="117">
        <f t="shared" si="29"/>
        <v>1</v>
      </c>
      <c r="H908" s="54">
        <f t="shared" si="30"/>
        <v>24000</v>
      </c>
      <c r="I908" s="114"/>
      <c r="J908" s="110">
        <f>J898</f>
        <v>0</v>
      </c>
    </row>
    <row r="909" spans="1:10" s="55" customFormat="1" ht="17.100000000000001" hidden="1" customHeight="1">
      <c r="A909" s="50" t="e">
        <f t="shared" si="26"/>
        <v>#REF!</v>
      </c>
      <c r="B909" s="51"/>
      <c r="C909" s="51" t="s">
        <v>458</v>
      </c>
      <c r="D909" s="52" t="s">
        <v>451</v>
      </c>
      <c r="E909" s="112">
        <f>0.001</f>
        <v>1E-3</v>
      </c>
      <c r="F909" s="53">
        <f>VLKS!Q12</f>
        <v>600000</v>
      </c>
      <c r="G909" s="117">
        <f t="shared" si="29"/>
        <v>1</v>
      </c>
      <c r="H909" s="54">
        <f t="shared" si="30"/>
        <v>600</v>
      </c>
      <c r="I909" s="114"/>
      <c r="J909" s="110">
        <f>J898</f>
        <v>0</v>
      </c>
    </row>
    <row r="910" spans="1:10" s="55" customFormat="1" ht="17.100000000000001" hidden="1" customHeight="1">
      <c r="A910" s="50" t="e">
        <f t="shared" si="26"/>
        <v>#REF!</v>
      </c>
      <c r="B910" s="51"/>
      <c r="C910" s="51" t="s">
        <v>459</v>
      </c>
      <c r="D910" s="52" t="s">
        <v>7</v>
      </c>
      <c r="E910" s="112">
        <f>0.001</f>
        <v>1E-3</v>
      </c>
      <c r="F910" s="53">
        <f>VLKS!Q34</f>
        <v>4090909</v>
      </c>
      <c r="G910" s="117">
        <f t="shared" si="29"/>
        <v>1</v>
      </c>
      <c r="H910" s="54">
        <f t="shared" si="30"/>
        <v>4090.9090000000001</v>
      </c>
      <c r="I910" s="114"/>
      <c r="J910" s="110">
        <f>J898</f>
        <v>0</v>
      </c>
    </row>
    <row r="911" spans="1:10" s="55" customFormat="1" ht="17.100000000000001" hidden="1" customHeight="1">
      <c r="A911" s="50" t="e">
        <f t="shared" si="26"/>
        <v>#REF!</v>
      </c>
      <c r="B911" s="51"/>
      <c r="C911" s="51" t="s">
        <v>127</v>
      </c>
      <c r="D911" s="52" t="s">
        <v>126</v>
      </c>
      <c r="E911" s="112">
        <f>10</f>
        <v>10</v>
      </c>
      <c r="F911" s="53"/>
      <c r="G911" s="117"/>
      <c r="H911" s="54">
        <f>ROUND(SUM(H900:H910)*E911/100,5)</f>
        <v>6772.1810999999998</v>
      </c>
      <c r="I911" s="114"/>
      <c r="J911" s="110">
        <f>J898</f>
        <v>0</v>
      </c>
    </row>
    <row r="912" spans="1:10" s="55" customFormat="1" ht="17.100000000000001" hidden="1" customHeight="1">
      <c r="A912" s="50" t="e">
        <f t="shared" si="26"/>
        <v>#REF!</v>
      </c>
      <c r="B912" s="51"/>
      <c r="C912" s="51" t="s">
        <v>125</v>
      </c>
      <c r="D912" s="52" t="s">
        <v>0</v>
      </c>
      <c r="E912" s="112"/>
      <c r="F912" s="53"/>
      <c r="G912" s="117"/>
      <c r="H912" s="56" t="e">
        <f>ROUND(SUM(H913:H913),5)</f>
        <v>#REF!</v>
      </c>
      <c r="I912" s="115"/>
      <c r="J912" s="110">
        <f>J898</f>
        <v>0</v>
      </c>
    </row>
    <row r="913" spans="1:10" s="55" customFormat="1" ht="17.100000000000001" hidden="1" customHeight="1">
      <c r="A913" s="50" t="e">
        <f t="shared" si="26"/>
        <v>#REF!</v>
      </c>
      <c r="B913" s="51"/>
      <c r="C913" s="51" t="s">
        <v>424</v>
      </c>
      <c r="D913" s="52" t="s">
        <v>3</v>
      </c>
      <c r="E913" s="112">
        <f>2.28</f>
        <v>2.2799999999999998</v>
      </c>
      <c r="F913" s="53" t="e">
        <f>'NC,M KS'!P6</f>
        <v>#REF!</v>
      </c>
      <c r="G913" s="117">
        <f>hsnc</f>
        <v>1</v>
      </c>
      <c r="H913" s="54" t="e">
        <f>ROUND(E913*F913*G913,5)</f>
        <v>#REF!</v>
      </c>
      <c r="I913" s="114"/>
      <c r="J913" s="110">
        <f>J898</f>
        <v>0</v>
      </c>
    </row>
    <row r="914" spans="1:10" s="55" customFormat="1" ht="17.100000000000001" hidden="1" customHeight="1">
      <c r="A914" s="50" t="e">
        <f t="shared" si="26"/>
        <v>#REF!</v>
      </c>
      <c r="B914" s="51"/>
      <c r="C914" s="51" t="s">
        <v>124</v>
      </c>
      <c r="D914" s="52" t="s">
        <v>0</v>
      </c>
      <c r="E914" s="112"/>
      <c r="F914" s="53"/>
      <c r="G914" s="117"/>
      <c r="H914" s="56">
        <f>ROUND(SUM(H915:H915),5)</f>
        <v>10982.92806</v>
      </c>
      <c r="I914" s="115"/>
      <c r="J914" s="110">
        <f>J898</f>
        <v>0</v>
      </c>
    </row>
    <row r="915" spans="1:10" s="55" customFormat="1" ht="17.100000000000001" hidden="1" customHeight="1">
      <c r="A915" s="50" t="e">
        <f t="shared" si="26"/>
        <v>#REF!</v>
      </c>
      <c r="B915" s="51"/>
      <c r="C915" s="51" t="s">
        <v>460</v>
      </c>
      <c r="D915" s="52" t="s">
        <v>4</v>
      </c>
      <c r="E915" s="112">
        <f>0.23</f>
        <v>0.23</v>
      </c>
      <c r="F915" s="53">
        <f>'NC,M KS'!P9</f>
        <v>47751.861111111109</v>
      </c>
      <c r="G915" s="117">
        <f>hsm</f>
        <v>1</v>
      </c>
      <c r="H915" s="54">
        <f>ROUND(E915*F915*G915,5)</f>
        <v>10982.92806</v>
      </c>
      <c r="I915" s="114"/>
      <c r="J915" s="110">
        <f>J898</f>
        <v>0</v>
      </c>
    </row>
    <row r="916" spans="1:10" s="55" customFormat="1" ht="17.100000000000001" hidden="1" customHeight="1">
      <c r="A916" s="50" t="e">
        <f t="shared" si="26"/>
        <v>#REF!</v>
      </c>
      <c r="B916" s="51"/>
      <c r="C916" s="170" t="s">
        <v>556</v>
      </c>
      <c r="D916" s="171" t="s">
        <v>136</v>
      </c>
      <c r="E916" s="172" t="s">
        <v>205</v>
      </c>
      <c r="F916" s="53"/>
      <c r="G916" s="117"/>
      <c r="H916" s="173" t="e">
        <f>ROUND(H899+H912+H914,5)</f>
        <v>#REF!</v>
      </c>
      <c r="I916" s="114"/>
      <c r="J916" s="110">
        <f>J898</f>
        <v>0</v>
      </c>
    </row>
    <row r="917" spans="1:10" s="55" customFormat="1" ht="17.100000000000001" hidden="1" customHeight="1">
      <c r="A917" s="50" t="e">
        <f t="shared" si="26"/>
        <v>#REF!</v>
      </c>
      <c r="B917" s="51"/>
      <c r="C917" s="170" t="s">
        <v>557</v>
      </c>
      <c r="D917" s="171" t="s">
        <v>204</v>
      </c>
      <c r="E917" s="172" t="s">
        <v>558</v>
      </c>
      <c r="F917" s="53"/>
      <c r="G917" s="117"/>
      <c r="H917" s="173" t="e">
        <f>SUM(H918:H919)</f>
        <v>#REF!</v>
      </c>
      <c r="I917" s="114"/>
      <c r="J917" s="110">
        <f>J898</f>
        <v>0</v>
      </c>
    </row>
    <row r="918" spans="1:10" s="55" customFormat="1" ht="17.100000000000001" hidden="1" customHeight="1">
      <c r="A918" s="50" t="e">
        <f t="shared" si="26"/>
        <v>#REF!</v>
      </c>
      <c r="B918" s="51"/>
      <c r="C918" s="51" t="s">
        <v>426</v>
      </c>
      <c r="D918" s="52" t="s">
        <v>559</v>
      </c>
      <c r="E918" s="116">
        <f>cpc</f>
        <v>0.7</v>
      </c>
      <c r="F918" s="174"/>
      <c r="G918" s="175"/>
      <c r="H918" s="54" t="e">
        <f>E918*H912</f>
        <v>#REF!</v>
      </c>
      <c r="I918" s="114"/>
      <c r="J918" s="110">
        <f>J898</f>
        <v>0</v>
      </c>
    </row>
    <row r="919" spans="1:10" s="55" customFormat="1" ht="30" hidden="1">
      <c r="A919" s="50" t="e">
        <f t="shared" si="26"/>
        <v>#REF!</v>
      </c>
      <c r="B919" s="51"/>
      <c r="C919" s="78" t="s">
        <v>560</v>
      </c>
      <c r="D919" s="79" t="s">
        <v>561</v>
      </c>
      <c r="E919" s="176">
        <f>hmc</f>
        <v>0.05</v>
      </c>
      <c r="F919" s="53"/>
      <c r="G919" s="113"/>
      <c r="H919" s="54" t="e">
        <f>E919*H916</f>
        <v>#REF!</v>
      </c>
      <c r="I919" s="114"/>
      <c r="J919" s="715">
        <f>J898</f>
        <v>0</v>
      </c>
    </row>
    <row r="920" spans="1:10" s="55" customFormat="1" ht="17.100000000000001" hidden="1" customHeight="1">
      <c r="A920" s="50" t="e">
        <f t="shared" si="26"/>
        <v>#REF!</v>
      </c>
      <c r="B920" s="51"/>
      <c r="C920" s="170" t="s">
        <v>562</v>
      </c>
      <c r="D920" s="171" t="s">
        <v>563</v>
      </c>
      <c r="E920" s="179">
        <f>tn</f>
        <v>0.06</v>
      </c>
      <c r="F920" s="177"/>
      <c r="G920" s="178"/>
      <c r="H920" s="181" t="e">
        <f>SUM(H916:H917)*E920</f>
        <v>#REF!</v>
      </c>
      <c r="I920" s="114"/>
      <c r="J920" s="715">
        <f>J898</f>
        <v>0</v>
      </c>
    </row>
    <row r="921" spans="1:10" s="55" customFormat="1" ht="17.100000000000001" hidden="1" customHeight="1">
      <c r="A921" s="50" t="e">
        <f t="shared" si="26"/>
        <v>#REF!</v>
      </c>
      <c r="B921" s="51"/>
      <c r="C921" s="92" t="s">
        <v>1879</v>
      </c>
      <c r="D921" s="171" t="s">
        <v>227</v>
      </c>
      <c r="E921" s="180" t="s">
        <v>564</v>
      </c>
      <c r="F921" s="174"/>
      <c r="G921" s="175"/>
      <c r="H921" s="173" t="e">
        <f>SUM(H922:H923)</f>
        <v>#REF!</v>
      </c>
      <c r="I921" s="114"/>
      <c r="J921" s="715">
        <f>J898</f>
        <v>0</v>
      </c>
    </row>
    <row r="922" spans="1:10" s="55" customFormat="1" ht="17.100000000000001" hidden="1" customHeight="1">
      <c r="A922" s="50" t="e">
        <f t="shared" si="26"/>
        <v>#REF!</v>
      </c>
      <c r="B922" s="51"/>
      <c r="C922" s="51" t="s">
        <v>427</v>
      </c>
      <c r="D922" s="52" t="s">
        <v>428</v>
      </c>
      <c r="E922" s="1093">
        <f>paks</f>
        <v>0</v>
      </c>
      <c r="F922" s="174"/>
      <c r="G922" s="175"/>
      <c r="H922" s="54" t="e">
        <f>(H916+H917+H920)*E922</f>
        <v>#REF!</v>
      </c>
      <c r="I922" s="114"/>
      <c r="J922" s="715">
        <f>J898</f>
        <v>0</v>
      </c>
    </row>
    <row r="923" spans="1:10" s="55" customFormat="1" ht="17.100000000000001" hidden="1" customHeight="1">
      <c r="A923" s="50" t="e">
        <f t="shared" si="26"/>
        <v>#REF!</v>
      </c>
      <c r="B923" s="51"/>
      <c r="C923" s="51" t="s">
        <v>429</v>
      </c>
      <c r="D923" s="52" t="s">
        <v>430</v>
      </c>
      <c r="E923" s="1093">
        <f>bcks</f>
        <v>0.03</v>
      </c>
      <c r="F923" s="53"/>
      <c r="G923" s="113"/>
      <c r="H923" s="54" t="e">
        <f>(H916+H917+H920)*E923</f>
        <v>#REF!</v>
      </c>
      <c r="I923" s="114"/>
      <c r="J923" s="715">
        <f>J898</f>
        <v>0</v>
      </c>
    </row>
    <row r="924" spans="1:10" s="55" customFormat="1" ht="17.100000000000001" hidden="1" customHeight="1">
      <c r="A924" s="50" t="e">
        <f t="shared" si="26"/>
        <v>#REF!</v>
      </c>
      <c r="B924" s="51"/>
      <c r="C924" s="170" t="s">
        <v>565</v>
      </c>
      <c r="D924" s="171" t="s">
        <v>218</v>
      </c>
      <c r="E924" s="172" t="s">
        <v>566</v>
      </c>
      <c r="F924" s="53"/>
      <c r="G924" s="113"/>
      <c r="H924" s="173" t="e">
        <f>H916+H917+H920+H921</f>
        <v>#REF!</v>
      </c>
      <c r="I924" s="114"/>
      <c r="J924" s="715">
        <f>J898</f>
        <v>0</v>
      </c>
    </row>
    <row r="925" spans="1:10" s="55" customFormat="1" ht="17.100000000000001" hidden="1" customHeight="1">
      <c r="A925" s="50" t="e">
        <f t="shared" si="26"/>
        <v>#REF!</v>
      </c>
      <c r="B925" s="51"/>
      <c r="C925" s="51" t="s">
        <v>567</v>
      </c>
      <c r="D925" s="52" t="s">
        <v>222</v>
      </c>
      <c r="E925" s="112" t="s">
        <v>1917</v>
      </c>
      <c r="F925" s="174"/>
      <c r="G925" s="175"/>
      <c r="H925" s="54" t="e">
        <f>ROUND(H924*10/100,5)</f>
        <v>#REF!</v>
      </c>
      <c r="I925" s="114"/>
      <c r="J925" s="715">
        <f>J898</f>
        <v>0</v>
      </c>
    </row>
    <row r="926" spans="1:10" s="55" customFormat="1" ht="17.100000000000001" hidden="1" customHeight="1">
      <c r="A926" s="50" t="e">
        <f t="shared" si="26"/>
        <v>#REF!</v>
      </c>
      <c r="B926" s="51"/>
      <c r="C926" s="170" t="s">
        <v>568</v>
      </c>
      <c r="D926" s="171" t="s">
        <v>225</v>
      </c>
      <c r="E926" s="172" t="s">
        <v>192</v>
      </c>
      <c r="F926" s="53"/>
      <c r="G926" s="117"/>
      <c r="H926" s="56" t="e">
        <f>ROUND(H924+H925,5)</f>
        <v>#REF!</v>
      </c>
      <c r="I926" s="115"/>
      <c r="J926" s="715">
        <f>J898</f>
        <v>0</v>
      </c>
    </row>
    <row r="927" spans="1:10" s="263" customFormat="1" ht="17.100000000000001" hidden="1" customHeight="1">
      <c r="A927" s="264" t="e">
        <f t="shared" si="26"/>
        <v>#REF!</v>
      </c>
      <c r="B927" s="265" t="s">
        <v>381</v>
      </c>
      <c r="C927" s="265" t="s">
        <v>382</v>
      </c>
      <c r="D927" s="266" t="s">
        <v>310</v>
      </c>
      <c r="E927" s="270"/>
      <c r="F927" s="267"/>
      <c r="G927" s="271"/>
      <c r="H927" s="268" t="e">
        <f>H955</f>
        <v>#REF!</v>
      </c>
      <c r="I927" s="272"/>
      <c r="J927" s="273">
        <f>IF(SUMIF(Khaosat!$B$6:$B$47,'PT giaKS'!B927,Khaosat!$I$6:$I$47)&lt;&gt;0,$J$6,0)</f>
        <v>0</v>
      </c>
    </row>
    <row r="928" spans="1:10" s="55" customFormat="1" ht="17.100000000000001" hidden="1" customHeight="1">
      <c r="A928" s="50" t="e">
        <f t="shared" si="26"/>
        <v>#REF!</v>
      </c>
      <c r="B928" s="51"/>
      <c r="C928" s="51" t="s">
        <v>128</v>
      </c>
      <c r="D928" s="52" t="s">
        <v>0</v>
      </c>
      <c r="E928" s="112"/>
      <c r="F928" s="53"/>
      <c r="G928" s="117"/>
      <c r="H928" s="56">
        <f>ROUND(SUM(H929:H940),5)</f>
        <v>75192.991500000004</v>
      </c>
      <c r="I928" s="115"/>
      <c r="J928" s="110">
        <f>J927</f>
        <v>0</v>
      </c>
    </row>
    <row r="929" spans="1:10" s="55" customFormat="1" ht="17.100000000000001" hidden="1" customHeight="1">
      <c r="A929" s="50" t="e">
        <f t="shared" si="26"/>
        <v>#REF!</v>
      </c>
      <c r="B929" s="51"/>
      <c r="C929" s="51" t="s">
        <v>448</v>
      </c>
      <c r="D929" s="52" t="s">
        <v>82</v>
      </c>
      <c r="E929" s="112">
        <f>0.009</f>
        <v>8.9999999999999993E-3</v>
      </c>
      <c r="F929" s="53">
        <f>VLKS!Q42</f>
        <v>200000</v>
      </c>
      <c r="G929" s="117">
        <f t="shared" ref="G929:G939" si="31">hsvl</f>
        <v>1</v>
      </c>
      <c r="H929" s="54">
        <f t="shared" ref="H929:H939" si="32">ROUND(E929*F929*G929,5)</f>
        <v>1800</v>
      </c>
      <c r="I929" s="114"/>
      <c r="J929" s="110">
        <f>J927</f>
        <v>0</v>
      </c>
    </row>
    <row r="930" spans="1:10" s="55" customFormat="1" ht="17.100000000000001" hidden="1" customHeight="1">
      <c r="A930" s="50" t="e">
        <f t="shared" ref="A930:A993" si="33">IF(B930&lt;&gt;0,A929+J930,A929)</f>
        <v>#REF!</v>
      </c>
      <c r="B930" s="51"/>
      <c r="C930" s="51" t="s">
        <v>449</v>
      </c>
      <c r="D930" s="52" t="s">
        <v>129</v>
      </c>
      <c r="E930" s="112">
        <f>0.042</f>
        <v>4.2000000000000003E-2</v>
      </c>
      <c r="F930" s="53">
        <f>VLKS!Q24</f>
        <v>81818</v>
      </c>
      <c r="G930" s="117">
        <f t="shared" si="31"/>
        <v>1</v>
      </c>
      <c r="H930" s="54">
        <f t="shared" si="32"/>
        <v>3436.3560000000002</v>
      </c>
      <c r="I930" s="114"/>
      <c r="J930" s="110">
        <f>J927</f>
        <v>0</v>
      </c>
    </row>
    <row r="931" spans="1:10" s="55" customFormat="1" ht="17.100000000000001" hidden="1" customHeight="1">
      <c r="A931" s="50" t="e">
        <f t="shared" si="33"/>
        <v>#REF!</v>
      </c>
      <c r="B931" s="51"/>
      <c r="C931" s="51" t="s">
        <v>450</v>
      </c>
      <c r="D931" s="52" t="s">
        <v>451</v>
      </c>
      <c r="E931" s="112">
        <f>0.0135</f>
        <v>1.35E-2</v>
      </c>
      <c r="F931" s="53">
        <f>VLKS!Q10</f>
        <v>180000</v>
      </c>
      <c r="G931" s="117">
        <f t="shared" si="31"/>
        <v>1</v>
      </c>
      <c r="H931" s="54">
        <f t="shared" si="32"/>
        <v>2430</v>
      </c>
      <c r="I931" s="114"/>
      <c r="J931" s="110">
        <f>J927</f>
        <v>0</v>
      </c>
    </row>
    <row r="932" spans="1:10" s="55" customFormat="1" ht="17.100000000000001" hidden="1" customHeight="1">
      <c r="A932" s="50" t="e">
        <f t="shared" si="33"/>
        <v>#REF!</v>
      </c>
      <c r="B932" s="51"/>
      <c r="C932" s="51" t="s">
        <v>452</v>
      </c>
      <c r="D932" s="52" t="s">
        <v>129</v>
      </c>
      <c r="E932" s="112">
        <f>0.11</f>
        <v>0.11</v>
      </c>
      <c r="F932" s="53">
        <f>VLKS!Q65</f>
        <v>130000</v>
      </c>
      <c r="G932" s="117">
        <f t="shared" si="31"/>
        <v>1</v>
      </c>
      <c r="H932" s="54">
        <f t="shared" si="32"/>
        <v>14300</v>
      </c>
      <c r="I932" s="114"/>
      <c r="J932" s="110">
        <f>J927</f>
        <v>0</v>
      </c>
    </row>
    <row r="933" spans="1:10" s="55" customFormat="1" ht="17.100000000000001" hidden="1" customHeight="1">
      <c r="A933" s="50" t="e">
        <f t="shared" si="33"/>
        <v>#REF!</v>
      </c>
      <c r="B933" s="51"/>
      <c r="C933" s="51" t="s">
        <v>453</v>
      </c>
      <c r="D933" s="52" t="s">
        <v>82</v>
      </c>
      <c r="E933" s="112">
        <f>0.05</f>
        <v>0.05</v>
      </c>
      <c r="F933" s="53">
        <f>VLKS!Q63</f>
        <v>100000</v>
      </c>
      <c r="G933" s="117">
        <f t="shared" si="31"/>
        <v>1</v>
      </c>
      <c r="H933" s="54">
        <f t="shared" si="32"/>
        <v>5000</v>
      </c>
      <c r="I933" s="114"/>
      <c r="J933" s="110">
        <f>J927</f>
        <v>0</v>
      </c>
    </row>
    <row r="934" spans="1:10" s="55" customFormat="1" ht="17.100000000000001" hidden="1" customHeight="1">
      <c r="A934" s="50" t="e">
        <f t="shared" si="33"/>
        <v>#REF!</v>
      </c>
      <c r="B934" s="51"/>
      <c r="C934" s="51" t="s">
        <v>454</v>
      </c>
      <c r="D934" s="52" t="s">
        <v>129</v>
      </c>
      <c r="E934" s="112">
        <f>0.07</f>
        <v>7.0000000000000007E-2</v>
      </c>
      <c r="F934" s="53">
        <f>VLKS!Q19</f>
        <v>10000</v>
      </c>
      <c r="G934" s="117">
        <f t="shared" si="31"/>
        <v>1</v>
      </c>
      <c r="H934" s="54">
        <f t="shared" si="32"/>
        <v>700</v>
      </c>
      <c r="I934" s="114"/>
      <c r="J934" s="110">
        <f>J927</f>
        <v>0</v>
      </c>
    </row>
    <row r="935" spans="1:10" s="55" customFormat="1" ht="17.100000000000001" hidden="1" customHeight="1">
      <c r="A935" s="50" t="e">
        <f t="shared" si="33"/>
        <v>#REF!</v>
      </c>
      <c r="B935" s="51"/>
      <c r="C935" s="51" t="s">
        <v>455</v>
      </c>
      <c r="D935" s="52" t="s">
        <v>82</v>
      </c>
      <c r="E935" s="112">
        <f>0.2</f>
        <v>0.2</v>
      </c>
      <c r="F935" s="53">
        <f>VLKS!Q39</f>
        <v>10000</v>
      </c>
      <c r="G935" s="117">
        <f t="shared" si="31"/>
        <v>1</v>
      </c>
      <c r="H935" s="54">
        <f t="shared" si="32"/>
        <v>2000</v>
      </c>
      <c r="I935" s="114"/>
      <c r="J935" s="110">
        <f>J927</f>
        <v>0</v>
      </c>
    </row>
    <row r="936" spans="1:10" s="55" customFormat="1" ht="17.100000000000001" hidden="1" customHeight="1">
      <c r="A936" s="50" t="e">
        <f t="shared" si="33"/>
        <v>#REF!</v>
      </c>
      <c r="B936" s="51"/>
      <c r="C936" s="51" t="s">
        <v>456</v>
      </c>
      <c r="D936" s="52" t="s">
        <v>82</v>
      </c>
      <c r="E936" s="112">
        <f>0.1</f>
        <v>0.1</v>
      </c>
      <c r="F936" s="53">
        <f>VLKS!Q37</f>
        <v>100000</v>
      </c>
      <c r="G936" s="117">
        <f t="shared" si="31"/>
        <v>1</v>
      </c>
      <c r="H936" s="54">
        <f t="shared" si="32"/>
        <v>10000</v>
      </c>
      <c r="I936" s="114"/>
      <c r="J936" s="110">
        <f>J927</f>
        <v>0</v>
      </c>
    </row>
    <row r="937" spans="1:10" s="55" customFormat="1" ht="17.100000000000001" hidden="1" customHeight="1">
      <c r="A937" s="50" t="e">
        <f t="shared" si="33"/>
        <v>#REF!</v>
      </c>
      <c r="B937" s="51"/>
      <c r="C937" s="51" t="s">
        <v>457</v>
      </c>
      <c r="D937" s="52" t="s">
        <v>82</v>
      </c>
      <c r="E937" s="112">
        <f>0.12</f>
        <v>0.12</v>
      </c>
      <c r="F937" s="53">
        <f>VLKS!Q38</f>
        <v>200000</v>
      </c>
      <c r="G937" s="117">
        <f t="shared" si="31"/>
        <v>1</v>
      </c>
      <c r="H937" s="54">
        <f t="shared" si="32"/>
        <v>24000</v>
      </c>
      <c r="I937" s="114"/>
      <c r="J937" s="110">
        <f>J927</f>
        <v>0</v>
      </c>
    </row>
    <row r="938" spans="1:10" s="55" customFormat="1" ht="17.100000000000001" hidden="1" customHeight="1">
      <c r="A938" s="50" t="e">
        <f t="shared" si="33"/>
        <v>#REF!</v>
      </c>
      <c r="B938" s="51"/>
      <c r="C938" s="51" t="s">
        <v>458</v>
      </c>
      <c r="D938" s="52" t="s">
        <v>451</v>
      </c>
      <c r="E938" s="112">
        <f>0.001</f>
        <v>1E-3</v>
      </c>
      <c r="F938" s="53">
        <f>VLKS!Q12</f>
        <v>600000</v>
      </c>
      <c r="G938" s="117">
        <f t="shared" si="31"/>
        <v>1</v>
      </c>
      <c r="H938" s="54">
        <f t="shared" si="32"/>
        <v>600</v>
      </c>
      <c r="I938" s="114"/>
      <c r="J938" s="110">
        <f>J927</f>
        <v>0</v>
      </c>
    </row>
    <row r="939" spans="1:10" s="55" customFormat="1" ht="17.100000000000001" hidden="1" customHeight="1">
      <c r="A939" s="50" t="e">
        <f t="shared" si="33"/>
        <v>#REF!</v>
      </c>
      <c r="B939" s="51"/>
      <c r="C939" s="51" t="s">
        <v>459</v>
      </c>
      <c r="D939" s="52" t="s">
        <v>7</v>
      </c>
      <c r="E939" s="112">
        <f>0.001</f>
        <v>1E-3</v>
      </c>
      <c r="F939" s="53">
        <f>VLKS!Q34</f>
        <v>4090909</v>
      </c>
      <c r="G939" s="117">
        <f t="shared" si="31"/>
        <v>1</v>
      </c>
      <c r="H939" s="54">
        <f t="shared" si="32"/>
        <v>4090.9090000000001</v>
      </c>
      <c r="I939" s="114"/>
      <c r="J939" s="110">
        <f>J927</f>
        <v>0</v>
      </c>
    </row>
    <row r="940" spans="1:10" s="55" customFormat="1" ht="17.100000000000001" hidden="1" customHeight="1">
      <c r="A940" s="50" t="e">
        <f t="shared" si="33"/>
        <v>#REF!</v>
      </c>
      <c r="B940" s="51"/>
      <c r="C940" s="51" t="s">
        <v>127</v>
      </c>
      <c r="D940" s="52" t="s">
        <v>126</v>
      </c>
      <c r="E940" s="112">
        <f>10</f>
        <v>10</v>
      </c>
      <c r="F940" s="53"/>
      <c r="G940" s="117"/>
      <c r="H940" s="54">
        <f>ROUND(SUM(H929:H939)*E940/100,5)</f>
        <v>6835.7264999999998</v>
      </c>
      <c r="I940" s="114"/>
      <c r="J940" s="110">
        <f>J927</f>
        <v>0</v>
      </c>
    </row>
    <row r="941" spans="1:10" s="55" customFormat="1" ht="17.100000000000001" hidden="1" customHeight="1">
      <c r="A941" s="50" t="e">
        <f t="shared" si="33"/>
        <v>#REF!</v>
      </c>
      <c r="B941" s="51"/>
      <c r="C941" s="51" t="s">
        <v>125</v>
      </c>
      <c r="D941" s="52" t="s">
        <v>0</v>
      </c>
      <c r="E941" s="112"/>
      <c r="F941" s="53"/>
      <c r="G941" s="117"/>
      <c r="H941" s="56" t="e">
        <f>ROUND(SUM(H942:H942),5)</f>
        <v>#REF!</v>
      </c>
      <c r="I941" s="115"/>
      <c r="J941" s="110">
        <f>J927</f>
        <v>0</v>
      </c>
    </row>
    <row r="942" spans="1:10" s="55" customFormat="1" ht="17.100000000000001" hidden="1" customHeight="1">
      <c r="A942" s="50" t="e">
        <f t="shared" si="33"/>
        <v>#REF!</v>
      </c>
      <c r="B942" s="51"/>
      <c r="C942" s="51" t="s">
        <v>424</v>
      </c>
      <c r="D942" s="52" t="s">
        <v>3</v>
      </c>
      <c r="E942" s="112">
        <f>3.82</f>
        <v>3.82</v>
      </c>
      <c r="F942" s="53" t="e">
        <f>'NC,M KS'!P6</f>
        <v>#REF!</v>
      </c>
      <c r="G942" s="117">
        <f>hsnc</f>
        <v>1</v>
      </c>
      <c r="H942" s="54" t="e">
        <f>ROUND(E942*F942*G942,5)</f>
        <v>#REF!</v>
      </c>
      <c r="I942" s="114"/>
      <c r="J942" s="110">
        <f>J927</f>
        <v>0</v>
      </c>
    </row>
    <row r="943" spans="1:10" s="55" customFormat="1" ht="17.100000000000001" hidden="1" customHeight="1">
      <c r="A943" s="50" t="e">
        <f t="shared" si="33"/>
        <v>#REF!</v>
      </c>
      <c r="B943" s="51"/>
      <c r="C943" s="51" t="s">
        <v>124</v>
      </c>
      <c r="D943" s="52" t="s">
        <v>0</v>
      </c>
      <c r="E943" s="112"/>
      <c r="F943" s="53"/>
      <c r="G943" s="117"/>
      <c r="H943" s="56">
        <f>ROUND(SUM(H944:H944),5)</f>
        <v>16235.63278</v>
      </c>
      <c r="I943" s="115"/>
      <c r="J943" s="110">
        <f>J927</f>
        <v>0</v>
      </c>
    </row>
    <row r="944" spans="1:10" s="55" customFormat="1" ht="17.100000000000001" hidden="1" customHeight="1">
      <c r="A944" s="50" t="e">
        <f t="shared" si="33"/>
        <v>#REF!</v>
      </c>
      <c r="B944" s="51"/>
      <c r="C944" s="51" t="s">
        <v>460</v>
      </c>
      <c r="D944" s="52" t="s">
        <v>4</v>
      </c>
      <c r="E944" s="112">
        <f>0.34</f>
        <v>0.34</v>
      </c>
      <c r="F944" s="53">
        <f>'NC,M KS'!P9</f>
        <v>47751.861111111109</v>
      </c>
      <c r="G944" s="117">
        <f>hsm</f>
        <v>1</v>
      </c>
      <c r="H944" s="54">
        <f>ROUND(E944*F944*G944,5)</f>
        <v>16235.63278</v>
      </c>
      <c r="I944" s="114"/>
      <c r="J944" s="110">
        <f>J927</f>
        <v>0</v>
      </c>
    </row>
    <row r="945" spans="1:10" s="55" customFormat="1" ht="17.100000000000001" hidden="1" customHeight="1">
      <c r="A945" s="50" t="e">
        <f t="shared" si="33"/>
        <v>#REF!</v>
      </c>
      <c r="B945" s="51"/>
      <c r="C945" s="170" t="s">
        <v>556</v>
      </c>
      <c r="D945" s="171" t="s">
        <v>136</v>
      </c>
      <c r="E945" s="172" t="s">
        <v>205</v>
      </c>
      <c r="F945" s="53"/>
      <c r="G945" s="117"/>
      <c r="H945" s="173" t="e">
        <f>ROUND(H928+H941+H943,5)</f>
        <v>#REF!</v>
      </c>
      <c r="I945" s="114"/>
      <c r="J945" s="110">
        <f>J927</f>
        <v>0</v>
      </c>
    </row>
    <row r="946" spans="1:10" s="55" customFormat="1" ht="17.100000000000001" hidden="1" customHeight="1">
      <c r="A946" s="50" t="e">
        <f t="shared" si="33"/>
        <v>#REF!</v>
      </c>
      <c r="B946" s="51"/>
      <c r="C946" s="170" t="s">
        <v>557</v>
      </c>
      <c r="D946" s="171" t="s">
        <v>204</v>
      </c>
      <c r="E946" s="172" t="s">
        <v>558</v>
      </c>
      <c r="F946" s="53"/>
      <c r="G946" s="117"/>
      <c r="H946" s="173" t="e">
        <f>SUM(H947:H948)</f>
        <v>#REF!</v>
      </c>
      <c r="I946" s="114"/>
      <c r="J946" s="110">
        <f>J927</f>
        <v>0</v>
      </c>
    </row>
    <row r="947" spans="1:10" s="55" customFormat="1" ht="17.100000000000001" hidden="1" customHeight="1">
      <c r="A947" s="50" t="e">
        <f t="shared" si="33"/>
        <v>#REF!</v>
      </c>
      <c r="B947" s="51"/>
      <c r="C947" s="51" t="s">
        <v>426</v>
      </c>
      <c r="D947" s="52" t="s">
        <v>559</v>
      </c>
      <c r="E947" s="116">
        <f>cpc</f>
        <v>0.7</v>
      </c>
      <c r="F947" s="174"/>
      <c r="G947" s="175"/>
      <c r="H947" s="54" t="e">
        <f>E947*H941</f>
        <v>#REF!</v>
      </c>
      <c r="I947" s="114"/>
      <c r="J947" s="110">
        <f>J927</f>
        <v>0</v>
      </c>
    </row>
    <row r="948" spans="1:10" s="55" customFormat="1" ht="30" hidden="1">
      <c r="A948" s="50" t="e">
        <f t="shared" si="33"/>
        <v>#REF!</v>
      </c>
      <c r="B948" s="51"/>
      <c r="C948" s="78" t="s">
        <v>560</v>
      </c>
      <c r="D948" s="79" t="s">
        <v>561</v>
      </c>
      <c r="E948" s="176">
        <f>hmc</f>
        <v>0.05</v>
      </c>
      <c r="F948" s="53"/>
      <c r="G948" s="113"/>
      <c r="H948" s="54" t="e">
        <f>E948*H945</f>
        <v>#REF!</v>
      </c>
      <c r="I948" s="114"/>
      <c r="J948" s="715">
        <f>J927</f>
        <v>0</v>
      </c>
    </row>
    <row r="949" spans="1:10" s="55" customFormat="1" ht="17.100000000000001" hidden="1" customHeight="1">
      <c r="A949" s="50" t="e">
        <f t="shared" si="33"/>
        <v>#REF!</v>
      </c>
      <c r="B949" s="51"/>
      <c r="C949" s="170" t="s">
        <v>562</v>
      </c>
      <c r="D949" s="171" t="s">
        <v>563</v>
      </c>
      <c r="E949" s="179">
        <f>tn</f>
        <v>0.06</v>
      </c>
      <c r="F949" s="177"/>
      <c r="G949" s="178"/>
      <c r="H949" s="181" t="e">
        <f>SUM(H945:H946)*E949</f>
        <v>#REF!</v>
      </c>
      <c r="I949" s="114"/>
      <c r="J949" s="715">
        <f>J927</f>
        <v>0</v>
      </c>
    </row>
    <row r="950" spans="1:10" s="55" customFormat="1" ht="17.100000000000001" hidden="1" customHeight="1">
      <c r="A950" s="50" t="e">
        <f t="shared" si="33"/>
        <v>#REF!</v>
      </c>
      <c r="B950" s="51"/>
      <c r="C950" s="92" t="s">
        <v>1879</v>
      </c>
      <c r="D950" s="171" t="s">
        <v>227</v>
      </c>
      <c r="E950" s="180" t="s">
        <v>564</v>
      </c>
      <c r="F950" s="174"/>
      <c r="G950" s="175"/>
      <c r="H950" s="173" t="e">
        <f>SUM(H951:H952)</f>
        <v>#REF!</v>
      </c>
      <c r="I950" s="114"/>
      <c r="J950" s="715">
        <f>J927</f>
        <v>0</v>
      </c>
    </row>
    <row r="951" spans="1:10" s="55" customFormat="1" ht="17.100000000000001" hidden="1" customHeight="1">
      <c r="A951" s="50" t="e">
        <f t="shared" si="33"/>
        <v>#REF!</v>
      </c>
      <c r="B951" s="51"/>
      <c r="C951" s="51" t="s">
        <v>427</v>
      </c>
      <c r="D951" s="52" t="s">
        <v>428</v>
      </c>
      <c r="E951" s="1093">
        <f>paks</f>
        <v>0</v>
      </c>
      <c r="F951" s="174"/>
      <c r="G951" s="175"/>
      <c r="H951" s="54" t="e">
        <f>(H945+H946+H949)*E951</f>
        <v>#REF!</v>
      </c>
      <c r="I951" s="114"/>
      <c r="J951" s="715">
        <f>J927</f>
        <v>0</v>
      </c>
    </row>
    <row r="952" spans="1:10" s="55" customFormat="1" ht="17.100000000000001" hidden="1" customHeight="1">
      <c r="A952" s="50" t="e">
        <f t="shared" si="33"/>
        <v>#REF!</v>
      </c>
      <c r="B952" s="51"/>
      <c r="C952" s="51" t="s">
        <v>429</v>
      </c>
      <c r="D952" s="52" t="s">
        <v>430</v>
      </c>
      <c r="E952" s="1093">
        <f>bcks</f>
        <v>0.03</v>
      </c>
      <c r="F952" s="53"/>
      <c r="G952" s="113"/>
      <c r="H952" s="54" t="e">
        <f>(H945+H946+H949)*E952</f>
        <v>#REF!</v>
      </c>
      <c r="I952" s="114"/>
      <c r="J952" s="715">
        <f>J927</f>
        <v>0</v>
      </c>
    </row>
    <row r="953" spans="1:10" s="55" customFormat="1" ht="17.100000000000001" hidden="1" customHeight="1">
      <c r="A953" s="50" t="e">
        <f t="shared" si="33"/>
        <v>#REF!</v>
      </c>
      <c r="B953" s="51"/>
      <c r="C953" s="170" t="s">
        <v>565</v>
      </c>
      <c r="D953" s="171" t="s">
        <v>218</v>
      </c>
      <c r="E953" s="172" t="s">
        <v>566</v>
      </c>
      <c r="F953" s="53"/>
      <c r="G953" s="113"/>
      <c r="H953" s="173" t="e">
        <f>H945+H946+H949+H950</f>
        <v>#REF!</v>
      </c>
      <c r="I953" s="114"/>
      <c r="J953" s="715">
        <f>J927</f>
        <v>0</v>
      </c>
    </row>
    <row r="954" spans="1:10" s="55" customFormat="1" ht="17.100000000000001" hidden="1" customHeight="1">
      <c r="A954" s="50" t="e">
        <f t="shared" si="33"/>
        <v>#REF!</v>
      </c>
      <c r="B954" s="51"/>
      <c r="C954" s="51" t="s">
        <v>567</v>
      </c>
      <c r="D954" s="52" t="s">
        <v>222</v>
      </c>
      <c r="E954" s="112" t="s">
        <v>1917</v>
      </c>
      <c r="F954" s="174"/>
      <c r="G954" s="175"/>
      <c r="H954" s="54" t="e">
        <f>ROUND(H953*10/100,5)</f>
        <v>#REF!</v>
      </c>
      <c r="I954" s="114"/>
      <c r="J954" s="715">
        <f>J927</f>
        <v>0</v>
      </c>
    </row>
    <row r="955" spans="1:10" s="55" customFormat="1" ht="17.100000000000001" hidden="1" customHeight="1">
      <c r="A955" s="50" t="e">
        <f t="shared" si="33"/>
        <v>#REF!</v>
      </c>
      <c r="B955" s="51"/>
      <c r="C955" s="170" t="s">
        <v>568</v>
      </c>
      <c r="D955" s="171" t="s">
        <v>225</v>
      </c>
      <c r="E955" s="172" t="s">
        <v>192</v>
      </c>
      <c r="F955" s="53"/>
      <c r="G955" s="117"/>
      <c r="H955" s="56" t="e">
        <f>ROUND(H953+H954,5)</f>
        <v>#REF!</v>
      </c>
      <c r="I955" s="115"/>
      <c r="J955" s="715">
        <f>J927</f>
        <v>0</v>
      </c>
    </row>
    <row r="956" spans="1:10" s="263" customFormat="1" ht="17.100000000000001" customHeight="1">
      <c r="A956" s="264" t="e">
        <f t="shared" si="33"/>
        <v>#REF!</v>
      </c>
      <c r="B956" s="265" t="s">
        <v>383</v>
      </c>
      <c r="C956" s="265" t="s">
        <v>1664</v>
      </c>
      <c r="D956" s="266" t="s">
        <v>310</v>
      </c>
      <c r="E956" s="270"/>
      <c r="F956" s="267"/>
      <c r="G956" s="271"/>
      <c r="H956" s="268" t="e">
        <f>H983</f>
        <v>#REF!</v>
      </c>
      <c r="I956" s="272"/>
      <c r="J956" s="273" t="e">
        <f>IF(SUMIF(Khaosat!$B$6:$B$47,'PT giaKS'!B956,Khaosat!$I$6:$I$47)&lt;&gt;0,$J$6,0)</f>
        <v>#REF!</v>
      </c>
    </row>
    <row r="957" spans="1:10" s="55" customFormat="1" ht="17.100000000000001" customHeight="1">
      <c r="A957" s="295" t="e">
        <f t="shared" si="33"/>
        <v>#REF!</v>
      </c>
      <c r="B957" s="51"/>
      <c r="C957" s="51" t="s">
        <v>128</v>
      </c>
      <c r="D957" s="52" t="s">
        <v>0</v>
      </c>
      <c r="E957" s="112"/>
      <c r="F957" s="53"/>
      <c r="G957" s="117"/>
      <c r="H957" s="56">
        <f>ROUND(SUM(H958:H967),5)</f>
        <v>92609.496650000001</v>
      </c>
      <c r="I957" s="115"/>
      <c r="J957" s="110" t="e">
        <f>J956</f>
        <v>#REF!</v>
      </c>
    </row>
    <row r="958" spans="1:10" s="55" customFormat="1" ht="17.100000000000001" customHeight="1">
      <c r="A958" s="295" t="e">
        <f t="shared" si="33"/>
        <v>#REF!</v>
      </c>
      <c r="B958" s="51"/>
      <c r="C958" s="51" t="s">
        <v>461</v>
      </c>
      <c r="D958" s="52" t="s">
        <v>82</v>
      </c>
      <c r="E958" s="112">
        <f>0.07</f>
        <v>7.0000000000000007E-2</v>
      </c>
      <c r="F958" s="53">
        <f>VLKS!Q43</f>
        <v>100000</v>
      </c>
      <c r="G958" s="117">
        <f t="shared" ref="G958:G966" si="34">hsvl</f>
        <v>1</v>
      </c>
      <c r="H958" s="54">
        <f t="shared" ref="H958:H966" si="35">ROUND(E958*F958*G958,5)</f>
        <v>7000</v>
      </c>
      <c r="I958" s="114"/>
      <c r="J958" s="110" t="e">
        <f>J956</f>
        <v>#REF!</v>
      </c>
    </row>
    <row r="959" spans="1:10" s="55" customFormat="1" ht="17.100000000000001" customHeight="1">
      <c r="A959" s="295" t="e">
        <f t="shared" si="33"/>
        <v>#REF!</v>
      </c>
      <c r="B959" s="51"/>
      <c r="C959" s="51" t="s">
        <v>449</v>
      </c>
      <c r="D959" s="52" t="s">
        <v>129</v>
      </c>
      <c r="E959" s="112">
        <f>0.015</f>
        <v>1.4999999999999999E-2</v>
      </c>
      <c r="F959" s="53">
        <f>VLKS!Q24</f>
        <v>81818</v>
      </c>
      <c r="G959" s="117">
        <f t="shared" si="34"/>
        <v>1</v>
      </c>
      <c r="H959" s="54">
        <f t="shared" si="35"/>
        <v>1227.27</v>
      </c>
      <c r="I959" s="114"/>
      <c r="J959" s="110" t="e">
        <f>J956</f>
        <v>#REF!</v>
      </c>
    </row>
    <row r="960" spans="1:10" s="55" customFormat="1" ht="17.100000000000001" customHeight="1">
      <c r="A960" s="295" t="e">
        <f t="shared" si="33"/>
        <v>#REF!</v>
      </c>
      <c r="B960" s="51"/>
      <c r="C960" s="51" t="s">
        <v>462</v>
      </c>
      <c r="D960" s="52" t="s">
        <v>451</v>
      </c>
      <c r="E960" s="112">
        <f>0.005</f>
        <v>5.0000000000000001E-3</v>
      </c>
      <c r="F960" s="53">
        <f>VLKS!Q62</f>
        <v>185000</v>
      </c>
      <c r="G960" s="117">
        <f t="shared" si="34"/>
        <v>1</v>
      </c>
      <c r="H960" s="54">
        <f t="shared" si="35"/>
        <v>925</v>
      </c>
      <c r="I960" s="114"/>
      <c r="J960" s="110" t="e">
        <f>J956</f>
        <v>#REF!</v>
      </c>
    </row>
    <row r="961" spans="1:10" s="55" customFormat="1" ht="17.100000000000001" customHeight="1">
      <c r="A961" s="295" t="e">
        <f t="shared" si="33"/>
        <v>#REF!</v>
      </c>
      <c r="B961" s="51"/>
      <c r="C961" s="51" t="s">
        <v>452</v>
      </c>
      <c r="D961" s="52" t="s">
        <v>129</v>
      </c>
      <c r="E961" s="112">
        <f>0.03</f>
        <v>0.03</v>
      </c>
      <c r="F961" s="53">
        <f>VLKS!Q65</f>
        <v>130000</v>
      </c>
      <c r="G961" s="117">
        <f t="shared" si="34"/>
        <v>1</v>
      </c>
      <c r="H961" s="54">
        <f t="shared" si="35"/>
        <v>3900</v>
      </c>
      <c r="I961" s="114"/>
      <c r="J961" s="110" t="e">
        <f>J956</f>
        <v>#REF!</v>
      </c>
    </row>
    <row r="962" spans="1:10" s="55" customFormat="1" ht="17.100000000000001" customHeight="1">
      <c r="A962" s="295" t="e">
        <f t="shared" si="33"/>
        <v>#REF!</v>
      </c>
      <c r="B962" s="51"/>
      <c r="C962" s="51" t="s">
        <v>453</v>
      </c>
      <c r="D962" s="52" t="s">
        <v>82</v>
      </c>
      <c r="E962" s="112">
        <f>0.01</f>
        <v>0.01</v>
      </c>
      <c r="F962" s="53">
        <f>VLKS!Q63</f>
        <v>100000</v>
      </c>
      <c r="G962" s="117">
        <f t="shared" si="34"/>
        <v>1</v>
      </c>
      <c r="H962" s="54">
        <f t="shared" si="35"/>
        <v>1000</v>
      </c>
      <c r="I962" s="114"/>
      <c r="J962" s="110" t="e">
        <f>J956</f>
        <v>#REF!</v>
      </c>
    </row>
    <row r="963" spans="1:10" s="55" customFormat="1" ht="17.100000000000001" customHeight="1">
      <c r="A963" s="295" t="e">
        <f t="shared" si="33"/>
        <v>#REF!</v>
      </c>
      <c r="B963" s="51"/>
      <c r="C963" s="51" t="s">
        <v>463</v>
      </c>
      <c r="D963" s="52" t="s">
        <v>129</v>
      </c>
      <c r="E963" s="112">
        <f>0.04</f>
        <v>0.04</v>
      </c>
      <c r="F963" s="53">
        <f>VLKS!Q69</f>
        <v>350000</v>
      </c>
      <c r="G963" s="117">
        <f t="shared" si="34"/>
        <v>1</v>
      </c>
      <c r="H963" s="54">
        <f t="shared" si="35"/>
        <v>14000</v>
      </c>
      <c r="I963" s="114"/>
      <c r="J963" s="110" t="e">
        <f>J956</f>
        <v>#REF!</v>
      </c>
    </row>
    <row r="964" spans="1:10" s="55" customFormat="1" ht="17.100000000000001" customHeight="1">
      <c r="A964" s="295" t="e">
        <f t="shared" si="33"/>
        <v>#REF!</v>
      </c>
      <c r="B964" s="51"/>
      <c r="C964" s="51" t="s">
        <v>464</v>
      </c>
      <c r="D964" s="52" t="s">
        <v>82</v>
      </c>
      <c r="E964" s="112">
        <f>0.002</f>
        <v>2E-3</v>
      </c>
      <c r="F964" s="53">
        <f>VLKS!Q68</f>
        <v>910000</v>
      </c>
      <c r="G964" s="117">
        <f t="shared" si="34"/>
        <v>1</v>
      </c>
      <c r="H964" s="54">
        <f t="shared" si="35"/>
        <v>1820</v>
      </c>
      <c r="I964" s="114"/>
      <c r="J964" s="110" t="e">
        <f>J956</f>
        <v>#REF!</v>
      </c>
    </row>
    <row r="965" spans="1:10" s="55" customFormat="1" ht="17.100000000000001" customHeight="1">
      <c r="A965" s="295" t="e">
        <f t="shared" si="33"/>
        <v>#REF!</v>
      </c>
      <c r="B965" s="51"/>
      <c r="C965" s="51" t="s">
        <v>456</v>
      </c>
      <c r="D965" s="52" t="s">
        <v>82</v>
      </c>
      <c r="E965" s="112">
        <f>0.4</f>
        <v>0.4</v>
      </c>
      <c r="F965" s="53">
        <f>VLKS!Q37</f>
        <v>100000</v>
      </c>
      <c r="G965" s="117">
        <f t="shared" si="34"/>
        <v>1</v>
      </c>
      <c r="H965" s="54">
        <f t="shared" si="35"/>
        <v>40000</v>
      </c>
      <c r="I965" s="114"/>
      <c r="J965" s="110" t="e">
        <f>J956</f>
        <v>#REF!</v>
      </c>
    </row>
    <row r="966" spans="1:10" s="55" customFormat="1" ht="17.100000000000001" customHeight="1">
      <c r="A966" s="295" t="e">
        <f t="shared" si="33"/>
        <v>#REF!</v>
      </c>
      <c r="B966" s="51"/>
      <c r="C966" s="51" t="s">
        <v>459</v>
      </c>
      <c r="D966" s="52" t="s">
        <v>7</v>
      </c>
      <c r="E966" s="112">
        <f>0.0035</f>
        <v>3.5000000000000001E-3</v>
      </c>
      <c r="F966" s="53">
        <f>VLKS!Q34</f>
        <v>4090909</v>
      </c>
      <c r="G966" s="117">
        <f t="shared" si="34"/>
        <v>1</v>
      </c>
      <c r="H966" s="54">
        <f t="shared" si="35"/>
        <v>14318.181500000001</v>
      </c>
      <c r="I966" s="114"/>
      <c r="J966" s="110" t="e">
        <f>J956</f>
        <v>#REF!</v>
      </c>
    </row>
    <row r="967" spans="1:10" s="55" customFormat="1" ht="17.100000000000001" customHeight="1">
      <c r="A967" s="295" t="e">
        <f t="shared" si="33"/>
        <v>#REF!</v>
      </c>
      <c r="B967" s="51"/>
      <c r="C967" s="51" t="s">
        <v>127</v>
      </c>
      <c r="D967" s="52" t="s">
        <v>126</v>
      </c>
      <c r="E967" s="112">
        <f>10</f>
        <v>10</v>
      </c>
      <c r="F967" s="53"/>
      <c r="G967" s="117"/>
      <c r="H967" s="54">
        <f>ROUND(SUM(H958:H966)*E967/100,5)</f>
        <v>8419.0451499999999</v>
      </c>
      <c r="I967" s="114"/>
      <c r="J967" s="110" t="e">
        <f>J956</f>
        <v>#REF!</v>
      </c>
    </row>
    <row r="968" spans="1:10" s="55" customFormat="1" ht="17.100000000000001" customHeight="1">
      <c r="A968" s="295" t="e">
        <f t="shared" si="33"/>
        <v>#REF!</v>
      </c>
      <c r="B968" s="51"/>
      <c r="C968" s="51" t="s">
        <v>125</v>
      </c>
      <c r="D968" s="52" t="s">
        <v>0</v>
      </c>
      <c r="E968" s="112"/>
      <c r="F968" s="53"/>
      <c r="G968" s="117"/>
      <c r="H968" s="56" t="e">
        <f>ROUND(SUM(H969:H969),5)</f>
        <v>#REF!</v>
      </c>
      <c r="I968" s="115"/>
      <c r="J968" s="110" t="e">
        <f>J956</f>
        <v>#REF!</v>
      </c>
    </row>
    <row r="969" spans="1:10" s="55" customFormat="1" ht="17.100000000000001" customHeight="1">
      <c r="A969" s="295" t="e">
        <f t="shared" si="33"/>
        <v>#REF!</v>
      </c>
      <c r="B969" s="51"/>
      <c r="C969" s="51" t="s">
        <v>424</v>
      </c>
      <c r="D969" s="52" t="s">
        <v>3</v>
      </c>
      <c r="E969" s="112">
        <f>1.76</f>
        <v>1.76</v>
      </c>
      <c r="F969" s="53" t="e">
        <f>'NC,M KS'!P6</f>
        <v>#REF!</v>
      </c>
      <c r="G969" s="117">
        <f>hsnc</f>
        <v>1</v>
      </c>
      <c r="H969" s="54" t="e">
        <f>ROUND(E969*F969*G969,5)</f>
        <v>#REF!</v>
      </c>
      <c r="I969" s="114"/>
      <c r="J969" s="110" t="e">
        <f>J956</f>
        <v>#REF!</v>
      </c>
    </row>
    <row r="970" spans="1:10" s="55" customFormat="1" ht="17.100000000000001" customHeight="1">
      <c r="A970" s="295" t="e">
        <f t="shared" si="33"/>
        <v>#REF!</v>
      </c>
      <c r="B970" s="51"/>
      <c r="C970" s="51" t="s">
        <v>124</v>
      </c>
      <c r="D970" s="52" t="s">
        <v>0</v>
      </c>
      <c r="E970" s="112"/>
      <c r="F970" s="53"/>
      <c r="G970" s="117"/>
      <c r="H970" s="56">
        <f>ROUND(SUM(H971:H972),5)</f>
        <v>7364.4</v>
      </c>
      <c r="I970" s="115"/>
      <c r="J970" s="110" t="e">
        <f>J956</f>
        <v>#REF!</v>
      </c>
    </row>
    <row r="971" spans="1:10" s="55" customFormat="1" ht="17.100000000000001" customHeight="1">
      <c r="A971" s="295" t="e">
        <f t="shared" si="33"/>
        <v>#REF!</v>
      </c>
      <c r="B971" s="51"/>
      <c r="C971" s="51" t="s">
        <v>465</v>
      </c>
      <c r="D971" s="52" t="s">
        <v>4</v>
      </c>
      <c r="E971" s="112">
        <f>0.09</f>
        <v>0.09</v>
      </c>
      <c r="F971" s="53">
        <f>'NC,M KS'!P23</f>
        <v>80222.222222222219</v>
      </c>
      <c r="G971" s="117">
        <f>hsm</f>
        <v>1</v>
      </c>
      <c r="H971" s="54">
        <f>ROUND(E971*F971*G971,5)</f>
        <v>7220</v>
      </c>
      <c r="I971" s="114"/>
      <c r="J971" s="110" t="e">
        <f>J956</f>
        <v>#REF!</v>
      </c>
    </row>
    <row r="972" spans="1:10" s="55" customFormat="1" ht="17.100000000000001" customHeight="1">
      <c r="A972" s="295" t="e">
        <f t="shared" si="33"/>
        <v>#REF!</v>
      </c>
      <c r="B972" s="51"/>
      <c r="C972" s="51" t="s">
        <v>130</v>
      </c>
      <c r="D972" s="52" t="s">
        <v>126</v>
      </c>
      <c r="E972" s="112">
        <f>2</f>
        <v>2</v>
      </c>
      <c r="F972" s="53"/>
      <c r="G972" s="117"/>
      <c r="H972" s="54">
        <f>ROUND(SUM(H971:H971)*E972/100,5)</f>
        <v>144.4</v>
      </c>
      <c r="I972" s="114"/>
      <c r="J972" s="110" t="e">
        <f>J956</f>
        <v>#REF!</v>
      </c>
    </row>
    <row r="973" spans="1:10" s="55" customFormat="1" ht="17.100000000000001" customHeight="1">
      <c r="A973" s="295" t="e">
        <f t="shared" si="33"/>
        <v>#REF!</v>
      </c>
      <c r="B973" s="51"/>
      <c r="C973" s="170" t="s">
        <v>556</v>
      </c>
      <c r="D973" s="171" t="s">
        <v>136</v>
      </c>
      <c r="E973" s="172" t="s">
        <v>205</v>
      </c>
      <c r="F973" s="53"/>
      <c r="G973" s="117"/>
      <c r="H973" s="173" t="e">
        <f>ROUND(H957+H968+H970,5)</f>
        <v>#REF!</v>
      </c>
      <c r="I973" s="114"/>
      <c r="J973" s="110" t="e">
        <f>J956</f>
        <v>#REF!</v>
      </c>
    </row>
    <row r="974" spans="1:10" s="55" customFormat="1" ht="17.100000000000001" customHeight="1">
      <c r="A974" s="295" t="e">
        <f t="shared" si="33"/>
        <v>#REF!</v>
      </c>
      <c r="B974" s="51"/>
      <c r="C974" s="170" t="s">
        <v>557</v>
      </c>
      <c r="D974" s="171" t="s">
        <v>204</v>
      </c>
      <c r="E974" s="172" t="s">
        <v>558</v>
      </c>
      <c r="F974" s="53"/>
      <c r="G974" s="117"/>
      <c r="H974" s="173" t="e">
        <f>SUM(H975:H976)</f>
        <v>#REF!</v>
      </c>
      <c r="I974" s="114"/>
      <c r="J974" s="110" t="e">
        <f>J956</f>
        <v>#REF!</v>
      </c>
    </row>
    <row r="975" spans="1:10" s="55" customFormat="1" ht="17.100000000000001" customHeight="1">
      <c r="A975" s="295" t="e">
        <f t="shared" si="33"/>
        <v>#REF!</v>
      </c>
      <c r="B975" s="51"/>
      <c r="C975" s="51" t="s">
        <v>426</v>
      </c>
      <c r="D975" s="52" t="s">
        <v>559</v>
      </c>
      <c r="E975" s="116">
        <f>cpc</f>
        <v>0.7</v>
      </c>
      <c r="F975" s="174"/>
      <c r="G975" s="175"/>
      <c r="H975" s="54" t="e">
        <f>E975*H968</f>
        <v>#REF!</v>
      </c>
      <c r="I975" s="114"/>
      <c r="J975" s="110" t="e">
        <f>J956</f>
        <v>#REF!</v>
      </c>
    </row>
    <row r="976" spans="1:10" s="55" customFormat="1" ht="30">
      <c r="A976" s="295" t="e">
        <f t="shared" si="33"/>
        <v>#REF!</v>
      </c>
      <c r="B976" s="51"/>
      <c r="C976" s="78" t="s">
        <v>560</v>
      </c>
      <c r="D976" s="79" t="s">
        <v>561</v>
      </c>
      <c r="E976" s="176">
        <f>hmc</f>
        <v>0.05</v>
      </c>
      <c r="F976" s="53"/>
      <c r="G976" s="113"/>
      <c r="H976" s="54" t="e">
        <f>E976*H973</f>
        <v>#REF!</v>
      </c>
      <c r="I976" s="114"/>
      <c r="J976" s="715" t="e">
        <f>J956</f>
        <v>#REF!</v>
      </c>
    </row>
    <row r="977" spans="1:10" s="55" customFormat="1" ht="17.100000000000001" customHeight="1">
      <c r="A977" s="295" t="e">
        <f t="shared" si="33"/>
        <v>#REF!</v>
      </c>
      <c r="B977" s="51"/>
      <c r="C977" s="170" t="s">
        <v>562</v>
      </c>
      <c r="D977" s="171" t="s">
        <v>563</v>
      </c>
      <c r="E977" s="179">
        <f>tn</f>
        <v>0.06</v>
      </c>
      <c r="F977" s="177"/>
      <c r="G977" s="178"/>
      <c r="H977" s="181" t="e">
        <f>SUM(H973:H974)*E977</f>
        <v>#REF!</v>
      </c>
      <c r="I977" s="114"/>
      <c r="J977" s="715" t="e">
        <f>J956</f>
        <v>#REF!</v>
      </c>
    </row>
    <row r="978" spans="1:10" s="55" customFormat="1" ht="17.100000000000001" customHeight="1">
      <c r="A978" s="295" t="e">
        <f t="shared" si="33"/>
        <v>#REF!</v>
      </c>
      <c r="B978" s="51"/>
      <c r="C978" s="92" t="s">
        <v>1879</v>
      </c>
      <c r="D978" s="171" t="s">
        <v>227</v>
      </c>
      <c r="E978" s="180" t="s">
        <v>564</v>
      </c>
      <c r="F978" s="174"/>
      <c r="G978" s="175"/>
      <c r="H978" s="173" t="e">
        <f>SUM(H979:H980)</f>
        <v>#REF!</v>
      </c>
      <c r="I978" s="114"/>
      <c r="J978" s="715" t="e">
        <f>J956</f>
        <v>#REF!</v>
      </c>
    </row>
    <row r="979" spans="1:10" s="55" customFormat="1" ht="17.100000000000001" customHeight="1">
      <c r="A979" s="295" t="e">
        <f t="shared" si="33"/>
        <v>#REF!</v>
      </c>
      <c r="B979" s="51"/>
      <c r="C979" s="51" t="s">
        <v>427</v>
      </c>
      <c r="D979" s="52" t="s">
        <v>428</v>
      </c>
      <c r="E979" s="1093">
        <f>paks</f>
        <v>0</v>
      </c>
      <c r="F979" s="174"/>
      <c r="G979" s="175"/>
      <c r="H979" s="54" t="e">
        <f>(H973+H974+H977)*E979</f>
        <v>#REF!</v>
      </c>
      <c r="I979" s="114"/>
      <c r="J979" s="715" t="e">
        <f>J956</f>
        <v>#REF!</v>
      </c>
    </row>
    <row r="980" spans="1:10" s="55" customFormat="1" ht="17.100000000000001" customHeight="1">
      <c r="A980" s="295" t="e">
        <f t="shared" si="33"/>
        <v>#REF!</v>
      </c>
      <c r="B980" s="51"/>
      <c r="C980" s="51" t="s">
        <v>429</v>
      </c>
      <c r="D980" s="52" t="s">
        <v>430</v>
      </c>
      <c r="E980" s="1093">
        <f>bcks</f>
        <v>0.03</v>
      </c>
      <c r="F980" s="53"/>
      <c r="G980" s="113"/>
      <c r="H980" s="54" t="e">
        <f>(H973+H974+H977)*E980</f>
        <v>#REF!</v>
      </c>
      <c r="I980" s="114"/>
      <c r="J980" s="715" t="e">
        <f>J956</f>
        <v>#REF!</v>
      </c>
    </row>
    <row r="981" spans="1:10" s="55" customFormat="1" ht="17.100000000000001" customHeight="1">
      <c r="A981" s="295" t="e">
        <f t="shared" si="33"/>
        <v>#REF!</v>
      </c>
      <c r="B981" s="51"/>
      <c r="C981" s="170" t="s">
        <v>565</v>
      </c>
      <c r="D981" s="171" t="s">
        <v>218</v>
      </c>
      <c r="E981" s="172" t="s">
        <v>566</v>
      </c>
      <c r="F981" s="53"/>
      <c r="G981" s="113"/>
      <c r="H981" s="173" t="e">
        <f>H973+H974+H977+H978</f>
        <v>#REF!</v>
      </c>
      <c r="I981" s="114"/>
      <c r="J981" s="715" t="e">
        <f>J956</f>
        <v>#REF!</v>
      </c>
    </row>
    <row r="982" spans="1:10" s="55" customFormat="1" ht="17.100000000000001" customHeight="1">
      <c r="A982" s="295" t="e">
        <f t="shared" si="33"/>
        <v>#REF!</v>
      </c>
      <c r="B982" s="51"/>
      <c r="C982" s="51" t="s">
        <v>567</v>
      </c>
      <c r="D982" s="52" t="s">
        <v>222</v>
      </c>
      <c r="E982" s="112" t="s">
        <v>1917</v>
      </c>
      <c r="F982" s="174"/>
      <c r="G982" s="175"/>
      <c r="H982" s="54" t="e">
        <f>ROUND(H981*10/100,5)</f>
        <v>#REF!</v>
      </c>
      <c r="I982" s="114"/>
      <c r="J982" s="715" t="e">
        <f>J956</f>
        <v>#REF!</v>
      </c>
    </row>
    <row r="983" spans="1:10" s="55" customFormat="1" ht="17.100000000000001" customHeight="1">
      <c r="A983" s="295" t="e">
        <f t="shared" si="33"/>
        <v>#REF!</v>
      </c>
      <c r="B983" s="51"/>
      <c r="C983" s="170" t="s">
        <v>568</v>
      </c>
      <c r="D983" s="171" t="s">
        <v>225</v>
      </c>
      <c r="E983" s="172" t="s">
        <v>192</v>
      </c>
      <c r="F983" s="53"/>
      <c r="G983" s="117"/>
      <c r="H983" s="56" t="e">
        <f>ROUND(H981+H982,5)</f>
        <v>#REF!</v>
      </c>
      <c r="I983" s="115"/>
      <c r="J983" s="715" t="e">
        <f>J956</f>
        <v>#REF!</v>
      </c>
    </row>
    <row r="984" spans="1:10" s="263" customFormat="1" ht="17.100000000000001" hidden="1" customHeight="1">
      <c r="A984" s="264" t="e">
        <f t="shared" si="33"/>
        <v>#REF!</v>
      </c>
      <c r="B984" s="265" t="s">
        <v>384</v>
      </c>
      <c r="C984" s="265" t="s">
        <v>1665</v>
      </c>
      <c r="D984" s="266" t="s">
        <v>310</v>
      </c>
      <c r="E984" s="270"/>
      <c r="F984" s="267"/>
      <c r="G984" s="271"/>
      <c r="H984" s="268" t="e">
        <f>H1011</f>
        <v>#REF!</v>
      </c>
      <c r="I984" s="272"/>
      <c r="J984" s="273" t="e">
        <f>IF(SUMIF(Khaosat!$B$6:$B$47,'PT giaKS'!B984,Khaosat!$I$6:$I$47)&lt;&gt;0,$J$6,0)</f>
        <v>#REF!</v>
      </c>
    </row>
    <row r="985" spans="1:10" s="55" customFormat="1" ht="17.100000000000001" hidden="1" customHeight="1">
      <c r="A985" s="50" t="e">
        <f t="shared" si="33"/>
        <v>#REF!</v>
      </c>
      <c r="B985" s="51"/>
      <c r="C985" s="51" t="s">
        <v>128</v>
      </c>
      <c r="D985" s="52" t="s">
        <v>0</v>
      </c>
      <c r="E985" s="112"/>
      <c r="F985" s="53"/>
      <c r="G985" s="117"/>
      <c r="H985" s="56">
        <f>ROUND(SUM(H986:H995),5)</f>
        <v>105316.99365</v>
      </c>
      <c r="I985" s="115"/>
      <c r="J985" s="110" t="e">
        <f>J984</f>
        <v>#REF!</v>
      </c>
    </row>
    <row r="986" spans="1:10" s="55" customFormat="1" ht="17.100000000000001" hidden="1" customHeight="1">
      <c r="A986" s="50" t="e">
        <f t="shared" si="33"/>
        <v>#REF!</v>
      </c>
      <c r="B986" s="51"/>
      <c r="C986" s="51" t="s">
        <v>461</v>
      </c>
      <c r="D986" s="52" t="s">
        <v>82</v>
      </c>
      <c r="E986" s="112">
        <f>0.164</f>
        <v>0.16400000000000001</v>
      </c>
      <c r="F986" s="53">
        <f>VLKS!Q43</f>
        <v>100000</v>
      </c>
      <c r="G986" s="117">
        <f t="shared" ref="G986:G994" si="36">hsvl</f>
        <v>1</v>
      </c>
      <c r="H986" s="54">
        <f t="shared" ref="H986:H994" si="37">ROUND(E986*F986*G986,5)</f>
        <v>16400</v>
      </c>
      <c r="I986" s="114"/>
      <c r="J986" s="110" t="e">
        <f>J984</f>
        <v>#REF!</v>
      </c>
    </row>
    <row r="987" spans="1:10" s="55" customFormat="1" ht="17.100000000000001" hidden="1" customHeight="1">
      <c r="A987" s="50" t="e">
        <f t="shared" si="33"/>
        <v>#REF!</v>
      </c>
      <c r="B987" s="51"/>
      <c r="C987" s="51" t="s">
        <v>449</v>
      </c>
      <c r="D987" s="52" t="s">
        <v>129</v>
      </c>
      <c r="E987" s="112">
        <f>0.03</f>
        <v>0.03</v>
      </c>
      <c r="F987" s="53">
        <f>VLKS!Q24</f>
        <v>81818</v>
      </c>
      <c r="G987" s="117">
        <f t="shared" si="36"/>
        <v>1</v>
      </c>
      <c r="H987" s="54">
        <f t="shared" si="37"/>
        <v>2454.54</v>
      </c>
      <c r="I987" s="114"/>
      <c r="J987" s="110" t="e">
        <f>J984</f>
        <v>#REF!</v>
      </c>
    </row>
    <row r="988" spans="1:10" s="55" customFormat="1" ht="17.100000000000001" hidden="1" customHeight="1">
      <c r="A988" s="50" t="e">
        <f t="shared" si="33"/>
        <v>#REF!</v>
      </c>
      <c r="B988" s="51"/>
      <c r="C988" s="51" t="s">
        <v>462</v>
      </c>
      <c r="D988" s="52" t="s">
        <v>451</v>
      </c>
      <c r="E988" s="112">
        <f>0.01</f>
        <v>0.01</v>
      </c>
      <c r="F988" s="53">
        <f>VLKS!Q62</f>
        <v>185000</v>
      </c>
      <c r="G988" s="117">
        <f t="shared" si="36"/>
        <v>1</v>
      </c>
      <c r="H988" s="54">
        <f t="shared" si="37"/>
        <v>1850</v>
      </c>
      <c r="I988" s="114"/>
      <c r="J988" s="110" t="e">
        <f>J984</f>
        <v>#REF!</v>
      </c>
    </row>
    <row r="989" spans="1:10" s="55" customFormat="1" ht="17.100000000000001" hidden="1" customHeight="1">
      <c r="A989" s="50" t="e">
        <f t="shared" si="33"/>
        <v>#REF!</v>
      </c>
      <c r="B989" s="51"/>
      <c r="C989" s="51" t="s">
        <v>452</v>
      </c>
      <c r="D989" s="52" t="s">
        <v>129</v>
      </c>
      <c r="E989" s="112">
        <f>0.03</f>
        <v>0.03</v>
      </c>
      <c r="F989" s="53">
        <f>VLKS!Q65</f>
        <v>130000</v>
      </c>
      <c r="G989" s="117">
        <f t="shared" si="36"/>
        <v>1</v>
      </c>
      <c r="H989" s="54">
        <f t="shared" si="37"/>
        <v>3900</v>
      </c>
      <c r="I989" s="114"/>
      <c r="J989" s="110" t="e">
        <f>J984</f>
        <v>#REF!</v>
      </c>
    </row>
    <row r="990" spans="1:10" s="55" customFormat="1" ht="17.100000000000001" hidden="1" customHeight="1">
      <c r="A990" s="50" t="e">
        <f t="shared" si="33"/>
        <v>#REF!</v>
      </c>
      <c r="B990" s="51"/>
      <c r="C990" s="51" t="s">
        <v>453</v>
      </c>
      <c r="D990" s="52" t="s">
        <v>82</v>
      </c>
      <c r="E990" s="112">
        <f>0.01</f>
        <v>0.01</v>
      </c>
      <c r="F990" s="53">
        <f>VLKS!Q63</f>
        <v>100000</v>
      </c>
      <c r="G990" s="117">
        <f t="shared" si="36"/>
        <v>1</v>
      </c>
      <c r="H990" s="54">
        <f t="shared" si="37"/>
        <v>1000</v>
      </c>
      <c r="I990" s="114"/>
      <c r="J990" s="110" t="e">
        <f>J984</f>
        <v>#REF!</v>
      </c>
    </row>
    <row r="991" spans="1:10" s="55" customFormat="1" ht="17.100000000000001" hidden="1" customHeight="1">
      <c r="A991" s="50" t="e">
        <f t="shared" si="33"/>
        <v>#REF!</v>
      </c>
      <c r="B991" s="51"/>
      <c r="C991" s="51" t="s">
        <v>463</v>
      </c>
      <c r="D991" s="52" t="s">
        <v>129</v>
      </c>
      <c r="E991" s="112">
        <f>0.04</f>
        <v>0.04</v>
      </c>
      <c r="F991" s="53">
        <f>VLKS!Q69</f>
        <v>350000</v>
      </c>
      <c r="G991" s="117">
        <f t="shared" si="36"/>
        <v>1</v>
      </c>
      <c r="H991" s="54">
        <f t="shared" si="37"/>
        <v>14000</v>
      </c>
      <c r="I991" s="114"/>
      <c r="J991" s="110" t="e">
        <f>J984</f>
        <v>#REF!</v>
      </c>
    </row>
    <row r="992" spans="1:10" s="55" customFormat="1" ht="17.100000000000001" hidden="1" customHeight="1">
      <c r="A992" s="50" t="e">
        <f t="shared" si="33"/>
        <v>#REF!</v>
      </c>
      <c r="B992" s="51"/>
      <c r="C992" s="51" t="s">
        <v>464</v>
      </c>
      <c r="D992" s="52" t="s">
        <v>82</v>
      </c>
      <c r="E992" s="112">
        <f>0.002</f>
        <v>2E-3</v>
      </c>
      <c r="F992" s="53">
        <f>VLKS!Q68</f>
        <v>910000</v>
      </c>
      <c r="G992" s="117">
        <f t="shared" si="36"/>
        <v>1</v>
      </c>
      <c r="H992" s="54">
        <f t="shared" si="37"/>
        <v>1820</v>
      </c>
      <c r="I992" s="114"/>
      <c r="J992" s="110" t="e">
        <f>J984</f>
        <v>#REF!</v>
      </c>
    </row>
    <row r="993" spans="1:10" s="55" customFormat="1" ht="17.100000000000001" hidden="1" customHeight="1">
      <c r="A993" s="50" t="e">
        <f t="shared" si="33"/>
        <v>#REF!</v>
      </c>
      <c r="B993" s="51"/>
      <c r="C993" s="51" t="s">
        <v>456</v>
      </c>
      <c r="D993" s="52" t="s">
        <v>82</v>
      </c>
      <c r="E993" s="112">
        <f>0.4</f>
        <v>0.4</v>
      </c>
      <c r="F993" s="53">
        <f>VLKS!Q37</f>
        <v>100000</v>
      </c>
      <c r="G993" s="117">
        <f t="shared" si="36"/>
        <v>1</v>
      </c>
      <c r="H993" s="54">
        <f t="shared" si="37"/>
        <v>40000</v>
      </c>
      <c r="I993" s="114"/>
      <c r="J993" s="110" t="e">
        <f>J984</f>
        <v>#REF!</v>
      </c>
    </row>
    <row r="994" spans="1:10" s="55" customFormat="1" ht="17.100000000000001" hidden="1" customHeight="1">
      <c r="A994" s="50" t="e">
        <f t="shared" ref="A994:A1057" si="38">IF(B994&lt;&gt;0,A993+J994,A993)</f>
        <v>#REF!</v>
      </c>
      <c r="B994" s="51"/>
      <c r="C994" s="51" t="s">
        <v>459</v>
      </c>
      <c r="D994" s="52" t="s">
        <v>7</v>
      </c>
      <c r="E994" s="112">
        <f>0.0035</f>
        <v>3.5000000000000001E-3</v>
      </c>
      <c r="F994" s="53">
        <f>VLKS!Q34</f>
        <v>4090909</v>
      </c>
      <c r="G994" s="117">
        <f t="shared" si="36"/>
        <v>1</v>
      </c>
      <c r="H994" s="54">
        <f t="shared" si="37"/>
        <v>14318.181500000001</v>
      </c>
      <c r="I994" s="114"/>
      <c r="J994" s="110" t="e">
        <f>J984</f>
        <v>#REF!</v>
      </c>
    </row>
    <row r="995" spans="1:10" s="55" customFormat="1" ht="17.100000000000001" hidden="1" customHeight="1">
      <c r="A995" s="50" t="e">
        <f t="shared" si="38"/>
        <v>#REF!</v>
      </c>
      <c r="B995" s="51"/>
      <c r="C995" s="51" t="s">
        <v>127</v>
      </c>
      <c r="D995" s="52" t="s">
        <v>126</v>
      </c>
      <c r="E995" s="112">
        <f>10</f>
        <v>10</v>
      </c>
      <c r="F995" s="53"/>
      <c r="G995" s="117"/>
      <c r="H995" s="54">
        <f>ROUND(SUM(H986:H994)*E995/100,5)</f>
        <v>9574.2721500000007</v>
      </c>
      <c r="I995" s="114"/>
      <c r="J995" s="110" t="e">
        <f>J984</f>
        <v>#REF!</v>
      </c>
    </row>
    <row r="996" spans="1:10" s="55" customFormat="1" ht="17.100000000000001" hidden="1" customHeight="1">
      <c r="A996" s="50" t="e">
        <f t="shared" si="38"/>
        <v>#REF!</v>
      </c>
      <c r="B996" s="51"/>
      <c r="C996" s="51" t="s">
        <v>125</v>
      </c>
      <c r="D996" s="52" t="s">
        <v>0</v>
      </c>
      <c r="E996" s="112"/>
      <c r="F996" s="53"/>
      <c r="G996" s="117"/>
      <c r="H996" s="56" t="e">
        <f>ROUND(SUM(H997:H997),5)</f>
        <v>#REF!</v>
      </c>
      <c r="I996" s="115"/>
      <c r="J996" s="110" t="e">
        <f>J984</f>
        <v>#REF!</v>
      </c>
    </row>
    <row r="997" spans="1:10" s="55" customFormat="1" ht="17.100000000000001" hidden="1" customHeight="1">
      <c r="A997" s="50" t="e">
        <f t="shared" si="38"/>
        <v>#REF!</v>
      </c>
      <c r="B997" s="51"/>
      <c r="C997" s="51" t="s">
        <v>424</v>
      </c>
      <c r="D997" s="52" t="s">
        <v>3</v>
      </c>
      <c r="E997" s="112">
        <f>2.53</f>
        <v>2.5299999999999998</v>
      </c>
      <c r="F997" s="53" t="e">
        <f>'NC,M KS'!P6</f>
        <v>#REF!</v>
      </c>
      <c r="G997" s="117">
        <f>hsnc</f>
        <v>1</v>
      </c>
      <c r="H997" s="54" t="e">
        <f>ROUND(E997*F997*G997,5)</f>
        <v>#REF!</v>
      </c>
      <c r="I997" s="114"/>
      <c r="J997" s="110" t="e">
        <f>J984</f>
        <v>#REF!</v>
      </c>
    </row>
    <row r="998" spans="1:10" s="55" customFormat="1" ht="17.100000000000001" hidden="1" customHeight="1">
      <c r="A998" s="50" t="e">
        <f t="shared" si="38"/>
        <v>#REF!</v>
      </c>
      <c r="B998" s="51"/>
      <c r="C998" s="51" t="s">
        <v>124</v>
      </c>
      <c r="D998" s="52" t="s">
        <v>0</v>
      </c>
      <c r="E998" s="112"/>
      <c r="F998" s="53"/>
      <c r="G998" s="117"/>
      <c r="H998" s="56">
        <f>ROUND(SUM(H999:H1000),5)</f>
        <v>16365.333329999999</v>
      </c>
      <c r="I998" s="115"/>
      <c r="J998" s="110" t="e">
        <f>J984</f>
        <v>#REF!</v>
      </c>
    </row>
    <row r="999" spans="1:10" s="55" customFormat="1" ht="17.100000000000001" hidden="1" customHeight="1">
      <c r="A999" s="50" t="e">
        <f t="shared" si="38"/>
        <v>#REF!</v>
      </c>
      <c r="B999" s="51"/>
      <c r="C999" s="51" t="s">
        <v>465</v>
      </c>
      <c r="D999" s="52" t="s">
        <v>4</v>
      </c>
      <c r="E999" s="112">
        <f>0.2</f>
        <v>0.2</v>
      </c>
      <c r="F999" s="53">
        <f>'NC,M KS'!P23</f>
        <v>80222.222222222219</v>
      </c>
      <c r="G999" s="117">
        <f>hsm</f>
        <v>1</v>
      </c>
      <c r="H999" s="54">
        <f>ROUND(E999*F999*G999,5)</f>
        <v>16044.444439999999</v>
      </c>
      <c r="I999" s="114"/>
      <c r="J999" s="110" t="e">
        <f>J984</f>
        <v>#REF!</v>
      </c>
    </row>
    <row r="1000" spans="1:10" s="55" customFormat="1" ht="17.100000000000001" hidden="1" customHeight="1">
      <c r="A1000" s="50" t="e">
        <f t="shared" si="38"/>
        <v>#REF!</v>
      </c>
      <c r="B1000" s="51"/>
      <c r="C1000" s="51" t="s">
        <v>130</v>
      </c>
      <c r="D1000" s="52" t="s">
        <v>126</v>
      </c>
      <c r="E1000" s="112">
        <f>2</f>
        <v>2</v>
      </c>
      <c r="F1000" s="53"/>
      <c r="G1000" s="117"/>
      <c r="H1000" s="54">
        <f>ROUND(SUM(H999:H999)*E1000/100,5)</f>
        <v>320.88889</v>
      </c>
      <c r="I1000" s="114"/>
      <c r="J1000" s="110" t="e">
        <f>J984</f>
        <v>#REF!</v>
      </c>
    </row>
    <row r="1001" spans="1:10" s="55" customFormat="1" ht="17.100000000000001" hidden="1" customHeight="1">
      <c r="A1001" s="50" t="e">
        <f t="shared" si="38"/>
        <v>#REF!</v>
      </c>
      <c r="B1001" s="51"/>
      <c r="C1001" s="170" t="s">
        <v>556</v>
      </c>
      <c r="D1001" s="171" t="s">
        <v>136</v>
      </c>
      <c r="E1001" s="172" t="s">
        <v>205</v>
      </c>
      <c r="F1001" s="53"/>
      <c r="G1001" s="117"/>
      <c r="H1001" s="173" t="e">
        <f>ROUND(H985+H996+H998,5)</f>
        <v>#REF!</v>
      </c>
      <c r="I1001" s="114"/>
      <c r="J1001" s="110" t="e">
        <f>J984</f>
        <v>#REF!</v>
      </c>
    </row>
    <row r="1002" spans="1:10" s="55" customFormat="1" ht="17.100000000000001" hidden="1" customHeight="1">
      <c r="A1002" s="50" t="e">
        <f t="shared" si="38"/>
        <v>#REF!</v>
      </c>
      <c r="B1002" s="51"/>
      <c r="C1002" s="170" t="s">
        <v>557</v>
      </c>
      <c r="D1002" s="171" t="s">
        <v>204</v>
      </c>
      <c r="E1002" s="172" t="s">
        <v>558</v>
      </c>
      <c r="F1002" s="53"/>
      <c r="G1002" s="117"/>
      <c r="H1002" s="173" t="e">
        <f>SUM(H1003:H1004)</f>
        <v>#REF!</v>
      </c>
      <c r="I1002" s="114"/>
      <c r="J1002" s="110" t="e">
        <f>J984</f>
        <v>#REF!</v>
      </c>
    </row>
    <row r="1003" spans="1:10" s="55" customFormat="1" ht="17.100000000000001" hidden="1" customHeight="1">
      <c r="A1003" s="50" t="e">
        <f t="shared" si="38"/>
        <v>#REF!</v>
      </c>
      <c r="B1003" s="51"/>
      <c r="C1003" s="51" t="s">
        <v>426</v>
      </c>
      <c r="D1003" s="52" t="s">
        <v>559</v>
      </c>
      <c r="E1003" s="116">
        <f>cpc</f>
        <v>0.7</v>
      </c>
      <c r="F1003" s="174"/>
      <c r="G1003" s="175"/>
      <c r="H1003" s="54" t="e">
        <f>E1003*H996</f>
        <v>#REF!</v>
      </c>
      <c r="I1003" s="114"/>
      <c r="J1003" s="110" t="e">
        <f>J984</f>
        <v>#REF!</v>
      </c>
    </row>
    <row r="1004" spans="1:10" s="55" customFormat="1" ht="17.100000000000001" hidden="1" customHeight="1">
      <c r="A1004" s="50" t="e">
        <f t="shared" si="38"/>
        <v>#REF!</v>
      </c>
      <c r="B1004" s="51"/>
      <c r="C1004" s="78" t="s">
        <v>560</v>
      </c>
      <c r="D1004" s="79" t="s">
        <v>561</v>
      </c>
      <c r="E1004" s="176">
        <f>hmc</f>
        <v>0.05</v>
      </c>
      <c r="F1004" s="53"/>
      <c r="G1004" s="113"/>
      <c r="H1004" s="54" t="e">
        <f>E1004*H1001</f>
        <v>#REF!</v>
      </c>
      <c r="I1004" s="114"/>
      <c r="J1004" s="715" t="e">
        <f>J984</f>
        <v>#REF!</v>
      </c>
    </row>
    <row r="1005" spans="1:10" s="55" customFormat="1" ht="17.100000000000001" hidden="1" customHeight="1">
      <c r="A1005" s="50" t="e">
        <f t="shared" si="38"/>
        <v>#REF!</v>
      </c>
      <c r="B1005" s="51"/>
      <c r="C1005" s="170" t="s">
        <v>562</v>
      </c>
      <c r="D1005" s="171" t="s">
        <v>563</v>
      </c>
      <c r="E1005" s="179">
        <f>tn</f>
        <v>0.06</v>
      </c>
      <c r="F1005" s="177"/>
      <c r="G1005" s="178"/>
      <c r="H1005" s="181" t="e">
        <f>SUM(H1001:H1002)*E1005</f>
        <v>#REF!</v>
      </c>
      <c r="I1005" s="114"/>
      <c r="J1005" s="715" t="e">
        <f>J984</f>
        <v>#REF!</v>
      </c>
    </row>
    <row r="1006" spans="1:10" s="55" customFormat="1" ht="17.100000000000001" hidden="1" customHeight="1">
      <c r="A1006" s="50" t="e">
        <f t="shared" si="38"/>
        <v>#REF!</v>
      </c>
      <c r="B1006" s="51"/>
      <c r="C1006" s="92" t="s">
        <v>1879</v>
      </c>
      <c r="D1006" s="171" t="s">
        <v>227</v>
      </c>
      <c r="E1006" s="180" t="s">
        <v>564</v>
      </c>
      <c r="F1006" s="174"/>
      <c r="G1006" s="175"/>
      <c r="H1006" s="173" t="e">
        <f>SUM(H1007:H1008)</f>
        <v>#REF!</v>
      </c>
      <c r="I1006" s="114"/>
      <c r="J1006" s="715" t="e">
        <f>J984</f>
        <v>#REF!</v>
      </c>
    </row>
    <row r="1007" spans="1:10" s="55" customFormat="1" ht="17.100000000000001" hidden="1" customHeight="1">
      <c r="A1007" s="50" t="e">
        <f t="shared" si="38"/>
        <v>#REF!</v>
      </c>
      <c r="B1007" s="51"/>
      <c r="C1007" s="51" t="s">
        <v>427</v>
      </c>
      <c r="D1007" s="52" t="s">
        <v>428</v>
      </c>
      <c r="E1007" s="1093">
        <f>paks</f>
        <v>0</v>
      </c>
      <c r="F1007" s="174"/>
      <c r="G1007" s="175"/>
      <c r="H1007" s="54" t="e">
        <f>(H1001+H1002+H1005)*E1007</f>
        <v>#REF!</v>
      </c>
      <c r="I1007" s="114"/>
      <c r="J1007" s="715" t="e">
        <f>J984</f>
        <v>#REF!</v>
      </c>
    </row>
    <row r="1008" spans="1:10" s="55" customFormat="1" ht="17.100000000000001" hidden="1" customHeight="1">
      <c r="A1008" s="50" t="e">
        <f t="shared" si="38"/>
        <v>#REF!</v>
      </c>
      <c r="B1008" s="51"/>
      <c r="C1008" s="51" t="s">
        <v>429</v>
      </c>
      <c r="D1008" s="52" t="s">
        <v>430</v>
      </c>
      <c r="E1008" s="1093">
        <f>bcks</f>
        <v>0.03</v>
      </c>
      <c r="F1008" s="53"/>
      <c r="G1008" s="113"/>
      <c r="H1008" s="54" t="e">
        <f>(H1001+H1002+H1005)*E1008</f>
        <v>#REF!</v>
      </c>
      <c r="I1008" s="114"/>
      <c r="J1008" s="715" t="e">
        <f>J984</f>
        <v>#REF!</v>
      </c>
    </row>
    <row r="1009" spans="1:10" s="55" customFormat="1" ht="17.100000000000001" hidden="1" customHeight="1">
      <c r="A1009" s="50" t="e">
        <f t="shared" si="38"/>
        <v>#REF!</v>
      </c>
      <c r="B1009" s="51"/>
      <c r="C1009" s="170" t="s">
        <v>565</v>
      </c>
      <c r="D1009" s="171" t="s">
        <v>218</v>
      </c>
      <c r="E1009" s="172" t="s">
        <v>566</v>
      </c>
      <c r="F1009" s="53"/>
      <c r="G1009" s="113"/>
      <c r="H1009" s="173" t="e">
        <f>H1001+H1002+H1005+H1006</f>
        <v>#REF!</v>
      </c>
      <c r="I1009" s="114"/>
      <c r="J1009" s="715" t="e">
        <f>J984</f>
        <v>#REF!</v>
      </c>
    </row>
    <row r="1010" spans="1:10" s="55" customFormat="1" ht="17.100000000000001" hidden="1" customHeight="1">
      <c r="A1010" s="50" t="e">
        <f t="shared" si="38"/>
        <v>#REF!</v>
      </c>
      <c r="B1010" s="51"/>
      <c r="C1010" s="51" t="s">
        <v>567</v>
      </c>
      <c r="D1010" s="52" t="s">
        <v>222</v>
      </c>
      <c r="E1010" s="112" t="s">
        <v>1917</v>
      </c>
      <c r="F1010" s="174"/>
      <c r="G1010" s="175"/>
      <c r="H1010" s="54" t="e">
        <f>ROUND(H1009*10/100,5)</f>
        <v>#REF!</v>
      </c>
      <c r="I1010" s="114"/>
      <c r="J1010" s="715" t="e">
        <f>J984</f>
        <v>#REF!</v>
      </c>
    </row>
    <row r="1011" spans="1:10" s="55" customFormat="1" ht="17.100000000000001" hidden="1" customHeight="1">
      <c r="A1011" s="50" t="e">
        <f t="shared" si="38"/>
        <v>#REF!</v>
      </c>
      <c r="B1011" s="51"/>
      <c r="C1011" s="170" t="s">
        <v>568</v>
      </c>
      <c r="D1011" s="171" t="s">
        <v>225</v>
      </c>
      <c r="E1011" s="172" t="s">
        <v>192</v>
      </c>
      <c r="F1011" s="53"/>
      <c r="G1011" s="117"/>
      <c r="H1011" s="56" t="e">
        <f>ROUND(H1009+H1010,5)</f>
        <v>#REF!</v>
      </c>
      <c r="I1011" s="115"/>
      <c r="J1011" s="715" t="e">
        <f>J984</f>
        <v>#REF!</v>
      </c>
    </row>
    <row r="1012" spans="1:10" s="263" customFormat="1" ht="17.100000000000001" hidden="1" customHeight="1">
      <c r="A1012" s="264" t="e">
        <f t="shared" si="38"/>
        <v>#REF!</v>
      </c>
      <c r="B1012" s="265" t="s">
        <v>385</v>
      </c>
      <c r="C1012" s="265" t="s">
        <v>1666</v>
      </c>
      <c r="D1012" s="266" t="s">
        <v>310</v>
      </c>
      <c r="E1012" s="270"/>
      <c r="F1012" s="267"/>
      <c r="G1012" s="271"/>
      <c r="H1012" s="268" t="e">
        <f>H1039</f>
        <v>#REF!</v>
      </c>
      <c r="I1012" s="272"/>
      <c r="J1012" s="273" t="e">
        <f>IF(SUMIF(Khaosat!$B$6:$B$47,'PT giaKS'!B1012,Khaosat!$I$6:$I$47)&lt;&gt;0,$J$6,0)</f>
        <v>#REF!</v>
      </c>
    </row>
    <row r="1013" spans="1:10" s="55" customFormat="1" ht="17.100000000000001" hidden="1" customHeight="1">
      <c r="A1013" s="50" t="e">
        <f t="shared" si="38"/>
        <v>#REF!</v>
      </c>
      <c r="B1013" s="51"/>
      <c r="C1013" s="51" t="s">
        <v>128</v>
      </c>
      <c r="D1013" s="52" t="s">
        <v>0</v>
      </c>
      <c r="E1013" s="112"/>
      <c r="F1013" s="53"/>
      <c r="G1013" s="117"/>
      <c r="H1013" s="56">
        <f>ROUND(SUM(H1014:H1023),5)</f>
        <v>125730.99165</v>
      </c>
      <c r="I1013" s="115"/>
      <c r="J1013" s="110" t="e">
        <f>J1012</f>
        <v>#REF!</v>
      </c>
    </row>
    <row r="1014" spans="1:10" s="55" customFormat="1" ht="17.100000000000001" hidden="1" customHeight="1">
      <c r="A1014" s="50" t="e">
        <f t="shared" si="38"/>
        <v>#REF!</v>
      </c>
      <c r="B1014" s="51"/>
      <c r="C1014" s="51" t="s">
        <v>461</v>
      </c>
      <c r="D1014" s="52" t="s">
        <v>82</v>
      </c>
      <c r="E1014" s="112">
        <f>0.35</f>
        <v>0.35</v>
      </c>
      <c r="F1014" s="53">
        <f>VLKS!Q43</f>
        <v>100000</v>
      </c>
      <c r="G1014" s="117">
        <f t="shared" ref="G1014:G1022" si="39">hsvl</f>
        <v>1</v>
      </c>
      <c r="H1014" s="54">
        <f t="shared" ref="H1014:H1022" si="40">ROUND(E1014*F1014*G1014,5)</f>
        <v>35000</v>
      </c>
      <c r="I1014" s="114"/>
      <c r="J1014" s="110" t="e">
        <f>J1012</f>
        <v>#REF!</v>
      </c>
    </row>
    <row r="1015" spans="1:10" s="55" customFormat="1" ht="17.100000000000001" hidden="1" customHeight="1">
      <c r="A1015" s="50" t="e">
        <f t="shared" si="38"/>
        <v>#REF!</v>
      </c>
      <c r="B1015" s="51"/>
      <c r="C1015" s="51" t="s">
        <v>449</v>
      </c>
      <c r="D1015" s="52" t="s">
        <v>129</v>
      </c>
      <c r="E1015" s="112">
        <f>0.04</f>
        <v>0.04</v>
      </c>
      <c r="F1015" s="53">
        <f>VLKS!Q24</f>
        <v>81818</v>
      </c>
      <c r="G1015" s="117">
        <f t="shared" si="39"/>
        <v>1</v>
      </c>
      <c r="H1015" s="54">
        <f t="shared" si="40"/>
        <v>3272.72</v>
      </c>
      <c r="I1015" s="114"/>
      <c r="J1015" s="110" t="e">
        <f>J1012</f>
        <v>#REF!</v>
      </c>
    </row>
    <row r="1016" spans="1:10" s="55" customFormat="1" ht="17.100000000000001" hidden="1" customHeight="1">
      <c r="A1016" s="50" t="e">
        <f t="shared" si="38"/>
        <v>#REF!</v>
      </c>
      <c r="B1016" s="51"/>
      <c r="C1016" s="51" t="s">
        <v>462</v>
      </c>
      <c r="D1016" s="52" t="s">
        <v>451</v>
      </c>
      <c r="E1016" s="112">
        <f>0.014</f>
        <v>1.4E-2</v>
      </c>
      <c r="F1016" s="53">
        <f>VLKS!Q62</f>
        <v>185000</v>
      </c>
      <c r="G1016" s="117">
        <f t="shared" si="39"/>
        <v>1</v>
      </c>
      <c r="H1016" s="54">
        <f t="shared" si="40"/>
        <v>2590</v>
      </c>
      <c r="I1016" s="114"/>
      <c r="J1016" s="110" t="e">
        <f>J1012</f>
        <v>#REF!</v>
      </c>
    </row>
    <row r="1017" spans="1:10" s="55" customFormat="1" ht="17.100000000000001" hidden="1" customHeight="1">
      <c r="A1017" s="50" t="e">
        <f t="shared" si="38"/>
        <v>#REF!</v>
      </c>
      <c r="B1017" s="51"/>
      <c r="C1017" s="51" t="s">
        <v>452</v>
      </c>
      <c r="D1017" s="52" t="s">
        <v>129</v>
      </c>
      <c r="E1017" s="112">
        <f>0.02</f>
        <v>0.02</v>
      </c>
      <c r="F1017" s="53">
        <f>VLKS!Q65</f>
        <v>130000</v>
      </c>
      <c r="G1017" s="117">
        <f t="shared" si="39"/>
        <v>1</v>
      </c>
      <c r="H1017" s="54">
        <f t="shared" si="40"/>
        <v>2600</v>
      </c>
      <c r="I1017" s="114"/>
      <c r="J1017" s="110" t="e">
        <f>J1012</f>
        <v>#REF!</v>
      </c>
    </row>
    <row r="1018" spans="1:10" s="55" customFormat="1" ht="17.100000000000001" hidden="1" customHeight="1">
      <c r="A1018" s="50" t="e">
        <f t="shared" si="38"/>
        <v>#REF!</v>
      </c>
      <c r="B1018" s="51"/>
      <c r="C1018" s="51" t="s">
        <v>453</v>
      </c>
      <c r="D1018" s="52" t="s">
        <v>82</v>
      </c>
      <c r="E1018" s="112">
        <f>0.007</f>
        <v>7.0000000000000001E-3</v>
      </c>
      <c r="F1018" s="53">
        <f>VLKS!Q63</f>
        <v>100000</v>
      </c>
      <c r="G1018" s="117">
        <f t="shared" si="39"/>
        <v>1</v>
      </c>
      <c r="H1018" s="54">
        <f t="shared" si="40"/>
        <v>700</v>
      </c>
      <c r="I1018" s="114"/>
      <c r="J1018" s="110" t="e">
        <f>J1012</f>
        <v>#REF!</v>
      </c>
    </row>
    <row r="1019" spans="1:10" s="55" customFormat="1" ht="17.100000000000001" hidden="1" customHeight="1">
      <c r="A1019" s="50" t="e">
        <f t="shared" si="38"/>
        <v>#REF!</v>
      </c>
      <c r="B1019" s="51"/>
      <c r="C1019" s="51" t="s">
        <v>463</v>
      </c>
      <c r="D1019" s="52" t="s">
        <v>129</v>
      </c>
      <c r="E1019" s="112">
        <f>0.04</f>
        <v>0.04</v>
      </c>
      <c r="F1019" s="53">
        <f>VLKS!Q69</f>
        <v>350000</v>
      </c>
      <c r="G1019" s="117">
        <f t="shared" si="39"/>
        <v>1</v>
      </c>
      <c r="H1019" s="54">
        <f t="shared" si="40"/>
        <v>14000</v>
      </c>
      <c r="I1019" s="114"/>
      <c r="J1019" s="110" t="e">
        <f>J1012</f>
        <v>#REF!</v>
      </c>
    </row>
    <row r="1020" spans="1:10" s="55" customFormat="1" ht="17.100000000000001" hidden="1" customHeight="1">
      <c r="A1020" s="50" t="e">
        <f t="shared" si="38"/>
        <v>#REF!</v>
      </c>
      <c r="B1020" s="51"/>
      <c r="C1020" s="51" t="s">
        <v>464</v>
      </c>
      <c r="D1020" s="52" t="s">
        <v>82</v>
      </c>
      <c r="E1020" s="112">
        <f>0.002</f>
        <v>2E-3</v>
      </c>
      <c r="F1020" s="53">
        <f>VLKS!Q68</f>
        <v>910000</v>
      </c>
      <c r="G1020" s="117">
        <f t="shared" si="39"/>
        <v>1</v>
      </c>
      <c r="H1020" s="54">
        <f t="shared" si="40"/>
        <v>1820</v>
      </c>
      <c r="I1020" s="114"/>
      <c r="J1020" s="110" t="e">
        <f>J1012</f>
        <v>#REF!</v>
      </c>
    </row>
    <row r="1021" spans="1:10" s="55" customFormat="1" ht="17.100000000000001" hidden="1" customHeight="1">
      <c r="A1021" s="50" t="e">
        <f t="shared" si="38"/>
        <v>#REF!</v>
      </c>
      <c r="B1021" s="51"/>
      <c r="C1021" s="51" t="s">
        <v>456</v>
      </c>
      <c r="D1021" s="52" t="s">
        <v>82</v>
      </c>
      <c r="E1021" s="112">
        <f>0.4</f>
        <v>0.4</v>
      </c>
      <c r="F1021" s="53">
        <f>VLKS!Q37</f>
        <v>100000</v>
      </c>
      <c r="G1021" s="117">
        <f t="shared" si="39"/>
        <v>1</v>
      </c>
      <c r="H1021" s="54">
        <f t="shared" si="40"/>
        <v>40000</v>
      </c>
      <c r="I1021" s="114"/>
      <c r="J1021" s="110" t="e">
        <f>J1012</f>
        <v>#REF!</v>
      </c>
    </row>
    <row r="1022" spans="1:10" s="55" customFormat="1" ht="17.100000000000001" hidden="1" customHeight="1">
      <c r="A1022" s="50" t="e">
        <f t="shared" si="38"/>
        <v>#REF!</v>
      </c>
      <c r="B1022" s="51"/>
      <c r="C1022" s="51" t="s">
        <v>459</v>
      </c>
      <c r="D1022" s="52" t="s">
        <v>7</v>
      </c>
      <c r="E1022" s="112">
        <f>0.0035</f>
        <v>3.5000000000000001E-3</v>
      </c>
      <c r="F1022" s="53">
        <f>VLKS!Q34</f>
        <v>4090909</v>
      </c>
      <c r="G1022" s="117">
        <f t="shared" si="39"/>
        <v>1</v>
      </c>
      <c r="H1022" s="54">
        <f t="shared" si="40"/>
        <v>14318.181500000001</v>
      </c>
      <c r="I1022" s="114"/>
      <c r="J1022" s="110" t="e">
        <f>J1012</f>
        <v>#REF!</v>
      </c>
    </row>
    <row r="1023" spans="1:10" s="55" customFormat="1" ht="17.100000000000001" hidden="1" customHeight="1">
      <c r="A1023" s="50" t="e">
        <f t="shared" si="38"/>
        <v>#REF!</v>
      </c>
      <c r="B1023" s="51"/>
      <c r="C1023" s="51" t="s">
        <v>127</v>
      </c>
      <c r="D1023" s="52" t="s">
        <v>126</v>
      </c>
      <c r="E1023" s="112">
        <f>10</f>
        <v>10</v>
      </c>
      <c r="F1023" s="53"/>
      <c r="G1023" s="117"/>
      <c r="H1023" s="54">
        <f>ROUND(SUM(H1014:H1022)*E1023/100,5)</f>
        <v>11430.09015</v>
      </c>
      <c r="I1023" s="114"/>
      <c r="J1023" s="110" t="e">
        <f>J1012</f>
        <v>#REF!</v>
      </c>
    </row>
    <row r="1024" spans="1:10" s="55" customFormat="1" ht="17.100000000000001" hidden="1" customHeight="1">
      <c r="A1024" s="50" t="e">
        <f t="shared" si="38"/>
        <v>#REF!</v>
      </c>
      <c r="B1024" s="51"/>
      <c r="C1024" s="51" t="s">
        <v>125</v>
      </c>
      <c r="D1024" s="52" t="s">
        <v>0</v>
      </c>
      <c r="E1024" s="112"/>
      <c r="F1024" s="53"/>
      <c r="G1024" s="117"/>
      <c r="H1024" s="56" t="e">
        <f>ROUND(SUM(H1025:H1025),5)</f>
        <v>#REF!</v>
      </c>
      <c r="I1024" s="115"/>
      <c r="J1024" s="110" t="e">
        <f>J1012</f>
        <v>#REF!</v>
      </c>
    </row>
    <row r="1025" spans="1:10" s="55" customFormat="1" ht="17.100000000000001" hidden="1" customHeight="1">
      <c r="A1025" s="50" t="e">
        <f t="shared" si="38"/>
        <v>#REF!</v>
      </c>
      <c r="B1025" s="51"/>
      <c r="C1025" s="51" t="s">
        <v>424</v>
      </c>
      <c r="D1025" s="52" t="s">
        <v>3</v>
      </c>
      <c r="E1025" s="112">
        <f>3.59</f>
        <v>3.59</v>
      </c>
      <c r="F1025" s="53" t="e">
        <f>'NC,M KS'!P6</f>
        <v>#REF!</v>
      </c>
      <c r="G1025" s="117">
        <f>hsnc</f>
        <v>1</v>
      </c>
      <c r="H1025" s="54" t="e">
        <f>ROUND(E1025*F1025*G1025,5)</f>
        <v>#REF!</v>
      </c>
      <c r="I1025" s="114"/>
      <c r="J1025" s="110" t="e">
        <f>J1012</f>
        <v>#REF!</v>
      </c>
    </row>
    <row r="1026" spans="1:10" s="55" customFormat="1" ht="17.100000000000001" hidden="1" customHeight="1">
      <c r="A1026" s="50" t="e">
        <f t="shared" si="38"/>
        <v>#REF!</v>
      </c>
      <c r="B1026" s="51"/>
      <c r="C1026" s="51" t="s">
        <v>124</v>
      </c>
      <c r="D1026" s="52" t="s">
        <v>0</v>
      </c>
      <c r="E1026" s="112"/>
      <c r="F1026" s="53"/>
      <c r="G1026" s="117"/>
      <c r="H1026" s="56">
        <f>ROUND(SUM(H1027:H1028),5)</f>
        <v>27002.799999999999</v>
      </c>
      <c r="I1026" s="115"/>
      <c r="J1026" s="110" t="e">
        <f>J1012</f>
        <v>#REF!</v>
      </c>
    </row>
    <row r="1027" spans="1:10" s="55" customFormat="1" ht="17.100000000000001" hidden="1" customHeight="1">
      <c r="A1027" s="50" t="e">
        <f t="shared" si="38"/>
        <v>#REF!</v>
      </c>
      <c r="B1027" s="51"/>
      <c r="C1027" s="51" t="s">
        <v>465</v>
      </c>
      <c r="D1027" s="52" t="s">
        <v>4</v>
      </c>
      <c r="E1027" s="112">
        <f>0.33</f>
        <v>0.33</v>
      </c>
      <c r="F1027" s="53">
        <f>'NC,M KS'!P23</f>
        <v>80222.222222222219</v>
      </c>
      <c r="G1027" s="117">
        <f>hsm</f>
        <v>1</v>
      </c>
      <c r="H1027" s="54">
        <f>ROUND(E1027*F1027*G1027,5)</f>
        <v>26473.333330000001</v>
      </c>
      <c r="I1027" s="114"/>
      <c r="J1027" s="110" t="e">
        <f>J1012</f>
        <v>#REF!</v>
      </c>
    </row>
    <row r="1028" spans="1:10" s="55" customFormat="1" ht="17.100000000000001" hidden="1" customHeight="1">
      <c r="A1028" s="50" t="e">
        <f t="shared" si="38"/>
        <v>#REF!</v>
      </c>
      <c r="B1028" s="51"/>
      <c r="C1028" s="51" t="s">
        <v>130</v>
      </c>
      <c r="D1028" s="52" t="s">
        <v>126</v>
      </c>
      <c r="E1028" s="112">
        <f>2</f>
        <v>2</v>
      </c>
      <c r="F1028" s="53"/>
      <c r="G1028" s="117"/>
      <c r="H1028" s="54">
        <f>ROUND(SUM(H1027:H1027)*E1028/100,5)</f>
        <v>529.46667000000002</v>
      </c>
      <c r="I1028" s="114"/>
      <c r="J1028" s="110" t="e">
        <f>J1012</f>
        <v>#REF!</v>
      </c>
    </row>
    <row r="1029" spans="1:10" s="55" customFormat="1" ht="17.100000000000001" hidden="1" customHeight="1">
      <c r="A1029" s="50" t="e">
        <f t="shared" si="38"/>
        <v>#REF!</v>
      </c>
      <c r="B1029" s="51"/>
      <c r="C1029" s="170" t="s">
        <v>556</v>
      </c>
      <c r="D1029" s="171" t="s">
        <v>136</v>
      </c>
      <c r="E1029" s="172" t="s">
        <v>205</v>
      </c>
      <c r="F1029" s="53"/>
      <c r="G1029" s="117"/>
      <c r="H1029" s="173" t="e">
        <f>ROUND(H1013+H1024+H1026,5)</f>
        <v>#REF!</v>
      </c>
      <c r="I1029" s="114"/>
      <c r="J1029" s="110" t="e">
        <f>J1012</f>
        <v>#REF!</v>
      </c>
    </row>
    <row r="1030" spans="1:10" s="55" customFormat="1" ht="17.100000000000001" hidden="1" customHeight="1">
      <c r="A1030" s="50" t="e">
        <f t="shared" si="38"/>
        <v>#REF!</v>
      </c>
      <c r="B1030" s="51"/>
      <c r="C1030" s="170" t="s">
        <v>557</v>
      </c>
      <c r="D1030" s="171" t="s">
        <v>204</v>
      </c>
      <c r="E1030" s="172" t="s">
        <v>558</v>
      </c>
      <c r="F1030" s="53"/>
      <c r="G1030" s="117"/>
      <c r="H1030" s="173" t="e">
        <f>SUM(H1031:H1032)</f>
        <v>#REF!</v>
      </c>
      <c r="I1030" s="114"/>
      <c r="J1030" s="110" t="e">
        <f>J1012</f>
        <v>#REF!</v>
      </c>
    </row>
    <row r="1031" spans="1:10" s="55" customFormat="1" ht="17.100000000000001" hidden="1" customHeight="1">
      <c r="A1031" s="50" t="e">
        <f t="shared" si="38"/>
        <v>#REF!</v>
      </c>
      <c r="B1031" s="51"/>
      <c r="C1031" s="51" t="s">
        <v>426</v>
      </c>
      <c r="D1031" s="52" t="s">
        <v>559</v>
      </c>
      <c r="E1031" s="116">
        <f>cpc</f>
        <v>0.7</v>
      </c>
      <c r="F1031" s="174"/>
      <c r="G1031" s="175"/>
      <c r="H1031" s="54" t="e">
        <f>E1031*H1024</f>
        <v>#REF!</v>
      </c>
      <c r="I1031" s="114"/>
      <c r="J1031" s="110" t="e">
        <f>J1012</f>
        <v>#REF!</v>
      </c>
    </row>
    <row r="1032" spans="1:10" s="55" customFormat="1" ht="17.100000000000001" hidden="1" customHeight="1">
      <c r="A1032" s="50" t="e">
        <f t="shared" si="38"/>
        <v>#REF!</v>
      </c>
      <c r="B1032" s="51"/>
      <c r="C1032" s="78" t="s">
        <v>560</v>
      </c>
      <c r="D1032" s="79" t="s">
        <v>561</v>
      </c>
      <c r="E1032" s="176">
        <f>hmc</f>
        <v>0.05</v>
      </c>
      <c r="F1032" s="53"/>
      <c r="G1032" s="113"/>
      <c r="H1032" s="54" t="e">
        <f>E1032*H1029</f>
        <v>#REF!</v>
      </c>
      <c r="I1032" s="114"/>
      <c r="J1032" s="715" t="e">
        <f>J1012</f>
        <v>#REF!</v>
      </c>
    </row>
    <row r="1033" spans="1:10" s="55" customFormat="1" ht="17.100000000000001" hidden="1" customHeight="1">
      <c r="A1033" s="50" t="e">
        <f t="shared" si="38"/>
        <v>#REF!</v>
      </c>
      <c r="B1033" s="51"/>
      <c r="C1033" s="170" t="s">
        <v>562</v>
      </c>
      <c r="D1033" s="171" t="s">
        <v>563</v>
      </c>
      <c r="E1033" s="179">
        <f>tn</f>
        <v>0.06</v>
      </c>
      <c r="F1033" s="177"/>
      <c r="G1033" s="178"/>
      <c r="H1033" s="181" t="e">
        <f>SUM(H1029:H1030)*E1033</f>
        <v>#REF!</v>
      </c>
      <c r="I1033" s="114"/>
      <c r="J1033" s="715" t="e">
        <f>J1012</f>
        <v>#REF!</v>
      </c>
    </row>
    <row r="1034" spans="1:10" s="55" customFormat="1" ht="17.100000000000001" hidden="1" customHeight="1">
      <c r="A1034" s="50" t="e">
        <f t="shared" si="38"/>
        <v>#REF!</v>
      </c>
      <c r="B1034" s="51"/>
      <c r="C1034" s="92" t="s">
        <v>1879</v>
      </c>
      <c r="D1034" s="171" t="s">
        <v>227</v>
      </c>
      <c r="E1034" s="180" t="s">
        <v>564</v>
      </c>
      <c r="F1034" s="174"/>
      <c r="G1034" s="175"/>
      <c r="H1034" s="173" t="e">
        <f>SUM(H1035:H1036)</f>
        <v>#REF!</v>
      </c>
      <c r="I1034" s="114"/>
      <c r="J1034" s="715" t="e">
        <f>J1012</f>
        <v>#REF!</v>
      </c>
    </row>
    <row r="1035" spans="1:10" s="55" customFormat="1" ht="17.100000000000001" hidden="1" customHeight="1">
      <c r="A1035" s="50" t="e">
        <f t="shared" si="38"/>
        <v>#REF!</v>
      </c>
      <c r="B1035" s="51"/>
      <c r="C1035" s="51" t="s">
        <v>427</v>
      </c>
      <c r="D1035" s="52" t="s">
        <v>428</v>
      </c>
      <c r="E1035" s="1093">
        <f>paks</f>
        <v>0</v>
      </c>
      <c r="F1035" s="174"/>
      <c r="G1035" s="175"/>
      <c r="H1035" s="54" t="e">
        <f>(H1029+H1030+H1033)*E1035</f>
        <v>#REF!</v>
      </c>
      <c r="I1035" s="114"/>
      <c r="J1035" s="715" t="e">
        <f>J1012</f>
        <v>#REF!</v>
      </c>
    </row>
    <row r="1036" spans="1:10" s="55" customFormat="1" ht="17.100000000000001" hidden="1" customHeight="1">
      <c r="A1036" s="50" t="e">
        <f t="shared" si="38"/>
        <v>#REF!</v>
      </c>
      <c r="B1036" s="51"/>
      <c r="C1036" s="51" t="s">
        <v>429</v>
      </c>
      <c r="D1036" s="52" t="s">
        <v>430</v>
      </c>
      <c r="E1036" s="1093">
        <f>bcks</f>
        <v>0.03</v>
      </c>
      <c r="F1036" s="53"/>
      <c r="G1036" s="113"/>
      <c r="H1036" s="54" t="e">
        <f>(H1029+H1030+H1033)*E1036</f>
        <v>#REF!</v>
      </c>
      <c r="I1036" s="114"/>
      <c r="J1036" s="715" t="e">
        <f>J1012</f>
        <v>#REF!</v>
      </c>
    </row>
    <row r="1037" spans="1:10" s="55" customFormat="1" ht="17.100000000000001" hidden="1" customHeight="1">
      <c r="A1037" s="50" t="e">
        <f t="shared" si="38"/>
        <v>#REF!</v>
      </c>
      <c r="B1037" s="51"/>
      <c r="C1037" s="170" t="s">
        <v>565</v>
      </c>
      <c r="D1037" s="171" t="s">
        <v>218</v>
      </c>
      <c r="E1037" s="172" t="s">
        <v>566</v>
      </c>
      <c r="F1037" s="53"/>
      <c r="G1037" s="113"/>
      <c r="H1037" s="173" t="e">
        <f>H1029+H1030+H1033+H1034</f>
        <v>#REF!</v>
      </c>
      <c r="I1037" s="114"/>
      <c r="J1037" s="715" t="e">
        <f>J1012</f>
        <v>#REF!</v>
      </c>
    </row>
    <row r="1038" spans="1:10" s="55" customFormat="1" ht="17.100000000000001" hidden="1" customHeight="1">
      <c r="A1038" s="50" t="e">
        <f t="shared" si="38"/>
        <v>#REF!</v>
      </c>
      <c r="B1038" s="51"/>
      <c r="C1038" s="51" t="s">
        <v>567</v>
      </c>
      <c r="D1038" s="52" t="s">
        <v>222</v>
      </c>
      <c r="E1038" s="112" t="s">
        <v>1917</v>
      </c>
      <c r="F1038" s="174"/>
      <c r="G1038" s="175"/>
      <c r="H1038" s="54" t="e">
        <f>ROUND(H1037*10/100,5)</f>
        <v>#REF!</v>
      </c>
      <c r="I1038" s="114"/>
      <c r="J1038" s="715" t="e">
        <f>J1012</f>
        <v>#REF!</v>
      </c>
    </row>
    <row r="1039" spans="1:10" s="55" customFormat="1" ht="17.100000000000001" hidden="1" customHeight="1">
      <c r="A1039" s="50" t="e">
        <f t="shared" si="38"/>
        <v>#REF!</v>
      </c>
      <c r="B1039" s="51"/>
      <c r="C1039" s="170" t="s">
        <v>568</v>
      </c>
      <c r="D1039" s="171" t="s">
        <v>225</v>
      </c>
      <c r="E1039" s="172" t="s">
        <v>192</v>
      </c>
      <c r="F1039" s="53"/>
      <c r="G1039" s="117"/>
      <c r="H1039" s="56" t="e">
        <f>ROUND(H1037+H1038,5)</f>
        <v>#REF!</v>
      </c>
      <c r="I1039" s="115"/>
      <c r="J1039" s="715" t="e">
        <f>J1012</f>
        <v>#REF!</v>
      </c>
    </row>
    <row r="1040" spans="1:10" s="263" customFormat="1" ht="17.100000000000001" hidden="1" customHeight="1">
      <c r="A1040" s="264" t="e">
        <f t="shared" si="38"/>
        <v>#REF!</v>
      </c>
      <c r="B1040" s="265" t="s">
        <v>386</v>
      </c>
      <c r="C1040" s="265" t="s">
        <v>1667</v>
      </c>
      <c r="D1040" s="266" t="s">
        <v>310</v>
      </c>
      <c r="E1040" s="270"/>
      <c r="F1040" s="267"/>
      <c r="G1040" s="271"/>
      <c r="H1040" s="268" t="e">
        <f>H1068</f>
        <v>#REF!</v>
      </c>
      <c r="I1040" s="272"/>
      <c r="J1040" s="273">
        <f>IF(SUMIF(Khaosat!$B$6:$B$47,'PT giaKS'!B1040,Khaosat!$I$6:$I$47)&lt;&gt;0,$J$6,0)</f>
        <v>0</v>
      </c>
    </row>
    <row r="1041" spans="1:10" s="55" customFormat="1" ht="17.100000000000001" hidden="1" customHeight="1">
      <c r="A1041" s="50" t="e">
        <f t="shared" si="38"/>
        <v>#REF!</v>
      </c>
      <c r="B1041" s="51"/>
      <c r="C1041" s="51" t="s">
        <v>128</v>
      </c>
      <c r="D1041" s="52" t="s">
        <v>0</v>
      </c>
      <c r="E1041" s="112"/>
      <c r="F1041" s="53"/>
      <c r="G1041" s="117"/>
      <c r="H1041" s="56">
        <f>ROUND(SUM(H1042:H1052),5)</f>
        <v>200634.49064999999</v>
      </c>
      <c r="I1041" s="115"/>
      <c r="J1041" s="110">
        <f>J1040</f>
        <v>0</v>
      </c>
    </row>
    <row r="1042" spans="1:10" s="55" customFormat="1" ht="17.100000000000001" hidden="1" customHeight="1">
      <c r="A1042" s="50" t="e">
        <f t="shared" si="38"/>
        <v>#REF!</v>
      </c>
      <c r="B1042" s="51"/>
      <c r="C1042" s="51" t="s">
        <v>466</v>
      </c>
      <c r="D1042" s="52" t="s">
        <v>82</v>
      </c>
      <c r="E1042" s="112">
        <f>0.05</f>
        <v>0.05</v>
      </c>
      <c r="F1042" s="53">
        <f>VLKS!Q44</f>
        <v>1400000</v>
      </c>
      <c r="G1042" s="117">
        <f t="shared" ref="G1042:G1051" si="41">hsvl</f>
        <v>1</v>
      </c>
      <c r="H1042" s="54">
        <f t="shared" ref="H1042:H1051" si="42">ROUND(E1042*F1042*G1042,5)</f>
        <v>70000</v>
      </c>
      <c r="I1042" s="114"/>
      <c r="J1042" s="110">
        <f>J1040</f>
        <v>0</v>
      </c>
    </row>
    <row r="1043" spans="1:10" s="55" customFormat="1" ht="17.100000000000001" hidden="1" customHeight="1">
      <c r="A1043" s="50" t="e">
        <f t="shared" si="38"/>
        <v>#REF!</v>
      </c>
      <c r="B1043" s="51"/>
      <c r="C1043" s="51" t="s">
        <v>467</v>
      </c>
      <c r="D1043" s="52" t="s">
        <v>451</v>
      </c>
      <c r="E1043" s="112">
        <f>0.015</f>
        <v>1.4999999999999999E-2</v>
      </c>
      <c r="F1043" s="53">
        <f>VLKS!Q11</f>
        <v>1500000</v>
      </c>
      <c r="G1043" s="117">
        <f t="shared" si="41"/>
        <v>1</v>
      </c>
      <c r="H1043" s="54">
        <f t="shared" si="42"/>
        <v>22500</v>
      </c>
      <c r="I1043" s="114"/>
      <c r="J1043" s="110">
        <f>J1040</f>
        <v>0</v>
      </c>
    </row>
    <row r="1044" spans="1:10" s="55" customFormat="1" ht="17.100000000000001" hidden="1" customHeight="1">
      <c r="A1044" s="50" t="e">
        <f t="shared" si="38"/>
        <v>#REF!</v>
      </c>
      <c r="B1044" s="51"/>
      <c r="C1044" s="51" t="s">
        <v>449</v>
      </c>
      <c r="D1044" s="52" t="s">
        <v>129</v>
      </c>
      <c r="E1044" s="112">
        <f>0.045</f>
        <v>4.4999999999999998E-2</v>
      </c>
      <c r="F1044" s="53">
        <f>VLKS!Q24</f>
        <v>81818</v>
      </c>
      <c r="G1044" s="117">
        <f t="shared" si="41"/>
        <v>1</v>
      </c>
      <c r="H1044" s="54">
        <f t="shared" si="42"/>
        <v>3681.81</v>
      </c>
      <c r="I1044" s="114"/>
      <c r="J1044" s="110">
        <f>J1040</f>
        <v>0</v>
      </c>
    </row>
    <row r="1045" spans="1:10" s="55" customFormat="1" ht="17.100000000000001" hidden="1" customHeight="1">
      <c r="A1045" s="50" t="e">
        <f t="shared" si="38"/>
        <v>#REF!</v>
      </c>
      <c r="B1045" s="51"/>
      <c r="C1045" s="51" t="s">
        <v>462</v>
      </c>
      <c r="D1045" s="52" t="s">
        <v>451</v>
      </c>
      <c r="E1045" s="112">
        <f>0.015</f>
        <v>1.4999999999999999E-2</v>
      </c>
      <c r="F1045" s="53">
        <f>VLKS!Q62</f>
        <v>185000</v>
      </c>
      <c r="G1045" s="117">
        <f t="shared" si="41"/>
        <v>1</v>
      </c>
      <c r="H1045" s="54">
        <f t="shared" si="42"/>
        <v>2775</v>
      </c>
      <c r="I1045" s="114"/>
      <c r="J1045" s="110">
        <f>J1040</f>
        <v>0</v>
      </c>
    </row>
    <row r="1046" spans="1:10" s="55" customFormat="1" ht="17.100000000000001" hidden="1" customHeight="1">
      <c r="A1046" s="50" t="e">
        <f t="shared" si="38"/>
        <v>#REF!</v>
      </c>
      <c r="B1046" s="51"/>
      <c r="C1046" s="51" t="s">
        <v>452</v>
      </c>
      <c r="D1046" s="52" t="s">
        <v>129</v>
      </c>
      <c r="E1046" s="112">
        <f>0.02</f>
        <v>0.02</v>
      </c>
      <c r="F1046" s="53">
        <f>VLKS!Q65</f>
        <v>130000</v>
      </c>
      <c r="G1046" s="117">
        <f t="shared" si="41"/>
        <v>1</v>
      </c>
      <c r="H1046" s="54">
        <f t="shared" si="42"/>
        <v>2600</v>
      </c>
      <c r="I1046" s="114"/>
      <c r="J1046" s="110">
        <f>J1040</f>
        <v>0</v>
      </c>
    </row>
    <row r="1047" spans="1:10" s="55" customFormat="1" ht="17.100000000000001" hidden="1" customHeight="1">
      <c r="A1047" s="50" t="e">
        <f t="shared" si="38"/>
        <v>#REF!</v>
      </c>
      <c r="B1047" s="51"/>
      <c r="C1047" s="51" t="s">
        <v>453</v>
      </c>
      <c r="D1047" s="52" t="s">
        <v>82</v>
      </c>
      <c r="E1047" s="112">
        <f>0.007</f>
        <v>7.0000000000000001E-3</v>
      </c>
      <c r="F1047" s="53">
        <f>VLKS!Q63</f>
        <v>100000</v>
      </c>
      <c r="G1047" s="117">
        <f t="shared" si="41"/>
        <v>1</v>
      </c>
      <c r="H1047" s="54">
        <f t="shared" si="42"/>
        <v>700</v>
      </c>
      <c r="I1047" s="114"/>
      <c r="J1047" s="110">
        <f>J1040</f>
        <v>0</v>
      </c>
    </row>
    <row r="1048" spans="1:10" s="55" customFormat="1" ht="17.100000000000001" hidden="1" customHeight="1">
      <c r="A1048" s="50" t="e">
        <f t="shared" si="38"/>
        <v>#REF!</v>
      </c>
      <c r="B1048" s="51"/>
      <c r="C1048" s="51" t="s">
        <v>463</v>
      </c>
      <c r="D1048" s="52" t="s">
        <v>129</v>
      </c>
      <c r="E1048" s="112">
        <f>0.04</f>
        <v>0.04</v>
      </c>
      <c r="F1048" s="53">
        <f>VLKS!Q69</f>
        <v>350000</v>
      </c>
      <c r="G1048" s="117">
        <f t="shared" si="41"/>
        <v>1</v>
      </c>
      <c r="H1048" s="54">
        <f t="shared" si="42"/>
        <v>14000</v>
      </c>
      <c r="I1048" s="114"/>
      <c r="J1048" s="110">
        <f>J1040</f>
        <v>0</v>
      </c>
    </row>
    <row r="1049" spans="1:10" s="55" customFormat="1" ht="17.100000000000001" hidden="1" customHeight="1">
      <c r="A1049" s="50" t="e">
        <f t="shared" si="38"/>
        <v>#REF!</v>
      </c>
      <c r="B1049" s="51"/>
      <c r="C1049" s="51" t="s">
        <v>464</v>
      </c>
      <c r="D1049" s="52" t="s">
        <v>82</v>
      </c>
      <c r="E1049" s="112">
        <f>0.002</f>
        <v>2E-3</v>
      </c>
      <c r="F1049" s="53">
        <f>VLKS!Q68</f>
        <v>910000</v>
      </c>
      <c r="G1049" s="117">
        <f t="shared" si="41"/>
        <v>1</v>
      </c>
      <c r="H1049" s="54">
        <f t="shared" si="42"/>
        <v>1820</v>
      </c>
      <c r="I1049" s="114"/>
      <c r="J1049" s="110">
        <f>J1040</f>
        <v>0</v>
      </c>
    </row>
    <row r="1050" spans="1:10" s="55" customFormat="1" ht="17.100000000000001" hidden="1" customHeight="1">
      <c r="A1050" s="50" t="e">
        <f t="shared" si="38"/>
        <v>#REF!</v>
      </c>
      <c r="B1050" s="51"/>
      <c r="C1050" s="51" t="s">
        <v>456</v>
      </c>
      <c r="D1050" s="52" t="s">
        <v>82</v>
      </c>
      <c r="E1050" s="112">
        <f>0.5</f>
        <v>0.5</v>
      </c>
      <c r="F1050" s="53">
        <f>VLKS!Q37</f>
        <v>100000</v>
      </c>
      <c r="G1050" s="117">
        <f t="shared" si="41"/>
        <v>1</v>
      </c>
      <c r="H1050" s="54">
        <f t="shared" si="42"/>
        <v>50000</v>
      </c>
      <c r="I1050" s="114"/>
      <c r="J1050" s="110">
        <f>J1040</f>
        <v>0</v>
      </c>
    </row>
    <row r="1051" spans="1:10" s="55" customFormat="1" ht="17.100000000000001" hidden="1" customHeight="1">
      <c r="A1051" s="50" t="e">
        <f t="shared" si="38"/>
        <v>#REF!</v>
      </c>
      <c r="B1051" s="51"/>
      <c r="C1051" s="51" t="s">
        <v>459</v>
      </c>
      <c r="D1051" s="52" t="s">
        <v>7</v>
      </c>
      <c r="E1051" s="112">
        <f>0.0035</f>
        <v>3.5000000000000001E-3</v>
      </c>
      <c r="F1051" s="53">
        <f>VLKS!Q34</f>
        <v>4090909</v>
      </c>
      <c r="G1051" s="117">
        <f t="shared" si="41"/>
        <v>1</v>
      </c>
      <c r="H1051" s="54">
        <f t="shared" si="42"/>
        <v>14318.181500000001</v>
      </c>
      <c r="I1051" s="114"/>
      <c r="J1051" s="110">
        <f>J1040</f>
        <v>0</v>
      </c>
    </row>
    <row r="1052" spans="1:10" s="55" customFormat="1" ht="17.100000000000001" hidden="1" customHeight="1">
      <c r="A1052" s="50" t="e">
        <f t="shared" si="38"/>
        <v>#REF!</v>
      </c>
      <c r="B1052" s="51"/>
      <c r="C1052" s="51" t="s">
        <v>127</v>
      </c>
      <c r="D1052" s="52" t="s">
        <v>126</v>
      </c>
      <c r="E1052" s="112">
        <f>10</f>
        <v>10</v>
      </c>
      <c r="F1052" s="53"/>
      <c r="G1052" s="117"/>
      <c r="H1052" s="54">
        <f>ROUND(SUM(H1042:H1051)*E1052/100,5)</f>
        <v>18239.49915</v>
      </c>
      <c r="I1052" s="114"/>
      <c r="J1052" s="110">
        <f>J1040</f>
        <v>0</v>
      </c>
    </row>
    <row r="1053" spans="1:10" s="55" customFormat="1" ht="17.100000000000001" hidden="1" customHeight="1">
      <c r="A1053" s="50" t="e">
        <f t="shared" si="38"/>
        <v>#REF!</v>
      </c>
      <c r="B1053" s="51"/>
      <c r="C1053" s="51" t="s">
        <v>125</v>
      </c>
      <c r="D1053" s="52" t="s">
        <v>0</v>
      </c>
      <c r="E1053" s="112"/>
      <c r="F1053" s="53"/>
      <c r="G1053" s="117"/>
      <c r="H1053" s="56" t="e">
        <f>ROUND(SUM(H1054:H1054),5)</f>
        <v>#REF!</v>
      </c>
      <c r="I1053" s="115"/>
      <c r="J1053" s="110">
        <f>J1040</f>
        <v>0</v>
      </c>
    </row>
    <row r="1054" spans="1:10" s="55" customFormat="1" ht="17.100000000000001" hidden="1" customHeight="1">
      <c r="A1054" s="50" t="e">
        <f t="shared" si="38"/>
        <v>#REF!</v>
      </c>
      <c r="B1054" s="51"/>
      <c r="C1054" s="51" t="s">
        <v>424</v>
      </c>
      <c r="D1054" s="52" t="s">
        <v>3</v>
      </c>
      <c r="E1054" s="112">
        <f>3.49</f>
        <v>3.49</v>
      </c>
      <c r="F1054" s="53" t="e">
        <f>'NC,M KS'!P6</f>
        <v>#REF!</v>
      </c>
      <c r="G1054" s="117">
        <f>hsnc</f>
        <v>1</v>
      </c>
      <c r="H1054" s="54" t="e">
        <f>ROUND(E1054*F1054*G1054,5)</f>
        <v>#REF!</v>
      </c>
      <c r="I1054" s="114"/>
      <c r="J1054" s="110">
        <f>J1040</f>
        <v>0</v>
      </c>
    </row>
    <row r="1055" spans="1:10" s="55" customFormat="1" ht="17.100000000000001" hidden="1" customHeight="1">
      <c r="A1055" s="50" t="e">
        <f t="shared" si="38"/>
        <v>#REF!</v>
      </c>
      <c r="B1055" s="51"/>
      <c r="C1055" s="51" t="s">
        <v>124</v>
      </c>
      <c r="D1055" s="52" t="s">
        <v>0</v>
      </c>
      <c r="E1055" s="112"/>
      <c r="F1055" s="53"/>
      <c r="G1055" s="117"/>
      <c r="H1055" s="56">
        <f>ROUND(SUM(H1056:H1057),5)</f>
        <v>24548</v>
      </c>
      <c r="I1055" s="115"/>
      <c r="J1055" s="110">
        <f>J1040</f>
        <v>0</v>
      </c>
    </row>
    <row r="1056" spans="1:10" s="55" customFormat="1" ht="17.100000000000001" hidden="1" customHeight="1">
      <c r="A1056" s="50" t="e">
        <f t="shared" si="38"/>
        <v>#REF!</v>
      </c>
      <c r="B1056" s="51"/>
      <c r="C1056" s="51" t="s">
        <v>465</v>
      </c>
      <c r="D1056" s="52" t="s">
        <v>4</v>
      </c>
      <c r="E1056" s="112">
        <f>0.3</f>
        <v>0.3</v>
      </c>
      <c r="F1056" s="53">
        <f>'NC,M KS'!P23</f>
        <v>80222.222222222219</v>
      </c>
      <c r="G1056" s="117">
        <f>hsm</f>
        <v>1</v>
      </c>
      <c r="H1056" s="54">
        <f>ROUND(E1056*F1056*G1056,5)</f>
        <v>24066.666669999999</v>
      </c>
      <c r="I1056" s="114"/>
      <c r="J1056" s="110">
        <f>J1040</f>
        <v>0</v>
      </c>
    </row>
    <row r="1057" spans="1:10" s="55" customFormat="1" ht="17.100000000000001" hidden="1" customHeight="1">
      <c r="A1057" s="50" t="e">
        <f t="shared" si="38"/>
        <v>#REF!</v>
      </c>
      <c r="B1057" s="51"/>
      <c r="C1057" s="51" t="s">
        <v>130</v>
      </c>
      <c r="D1057" s="52" t="s">
        <v>126</v>
      </c>
      <c r="E1057" s="112">
        <f>2</f>
        <v>2</v>
      </c>
      <c r="F1057" s="53"/>
      <c r="G1057" s="117"/>
      <c r="H1057" s="54">
        <f>ROUND(SUM(H1056:H1056)*E1057/100,5)</f>
        <v>481.33332999999999</v>
      </c>
      <c r="I1057" s="114"/>
      <c r="J1057" s="110">
        <f>J1040</f>
        <v>0</v>
      </c>
    </row>
    <row r="1058" spans="1:10" s="55" customFormat="1" ht="17.100000000000001" hidden="1" customHeight="1">
      <c r="A1058" s="50" t="e">
        <f t="shared" ref="A1058:A1135" si="43">IF(B1058&lt;&gt;0,A1057+J1058,A1057)</f>
        <v>#REF!</v>
      </c>
      <c r="B1058" s="51"/>
      <c r="C1058" s="170" t="s">
        <v>556</v>
      </c>
      <c r="D1058" s="171" t="s">
        <v>136</v>
      </c>
      <c r="E1058" s="172" t="s">
        <v>205</v>
      </c>
      <c r="F1058" s="53"/>
      <c r="G1058" s="117"/>
      <c r="H1058" s="173" t="e">
        <f>ROUND(H1041+H1053+H1055,5)</f>
        <v>#REF!</v>
      </c>
      <c r="I1058" s="114"/>
      <c r="J1058" s="110">
        <f>J1040</f>
        <v>0</v>
      </c>
    </row>
    <row r="1059" spans="1:10" s="55" customFormat="1" ht="17.100000000000001" hidden="1" customHeight="1">
      <c r="A1059" s="50" t="e">
        <f t="shared" si="43"/>
        <v>#REF!</v>
      </c>
      <c r="B1059" s="51"/>
      <c r="C1059" s="170" t="s">
        <v>557</v>
      </c>
      <c r="D1059" s="171" t="s">
        <v>204</v>
      </c>
      <c r="E1059" s="172" t="s">
        <v>558</v>
      </c>
      <c r="F1059" s="53"/>
      <c r="G1059" s="117"/>
      <c r="H1059" s="173" t="e">
        <f>SUM(H1060:H1061)</f>
        <v>#REF!</v>
      </c>
      <c r="I1059" s="114"/>
      <c r="J1059" s="110">
        <f>J1040</f>
        <v>0</v>
      </c>
    </row>
    <row r="1060" spans="1:10" s="55" customFormat="1" ht="17.100000000000001" hidden="1" customHeight="1">
      <c r="A1060" s="50" t="e">
        <f t="shared" si="43"/>
        <v>#REF!</v>
      </c>
      <c r="B1060" s="51"/>
      <c r="C1060" s="51" t="s">
        <v>426</v>
      </c>
      <c r="D1060" s="52" t="s">
        <v>559</v>
      </c>
      <c r="E1060" s="116">
        <f>cpc</f>
        <v>0.7</v>
      </c>
      <c r="F1060" s="174"/>
      <c r="G1060" s="175"/>
      <c r="H1060" s="54" t="e">
        <f>E1060*H1053</f>
        <v>#REF!</v>
      </c>
      <c r="I1060" s="114"/>
      <c r="J1060" s="715">
        <f>J1040</f>
        <v>0</v>
      </c>
    </row>
    <row r="1061" spans="1:10" s="55" customFormat="1" ht="17.100000000000001" hidden="1" customHeight="1">
      <c r="A1061" s="50" t="e">
        <f t="shared" si="43"/>
        <v>#REF!</v>
      </c>
      <c r="B1061" s="51"/>
      <c r="C1061" s="78" t="s">
        <v>560</v>
      </c>
      <c r="D1061" s="79" t="s">
        <v>561</v>
      </c>
      <c r="E1061" s="176">
        <f>hmc</f>
        <v>0.05</v>
      </c>
      <c r="F1061" s="53"/>
      <c r="G1061" s="113"/>
      <c r="H1061" s="54" t="e">
        <f>E1061*H1058</f>
        <v>#REF!</v>
      </c>
      <c r="I1061" s="114"/>
      <c r="J1061" s="715">
        <f>J1040</f>
        <v>0</v>
      </c>
    </row>
    <row r="1062" spans="1:10" s="55" customFormat="1" ht="17.100000000000001" hidden="1" customHeight="1">
      <c r="A1062" s="50" t="e">
        <f t="shared" si="43"/>
        <v>#REF!</v>
      </c>
      <c r="B1062" s="51"/>
      <c r="C1062" s="170" t="s">
        <v>562</v>
      </c>
      <c r="D1062" s="171" t="s">
        <v>563</v>
      </c>
      <c r="E1062" s="179">
        <f>tn</f>
        <v>0.06</v>
      </c>
      <c r="F1062" s="177"/>
      <c r="G1062" s="178"/>
      <c r="H1062" s="181" t="e">
        <f>SUM(H1058:H1059)*E1062</f>
        <v>#REF!</v>
      </c>
      <c r="I1062" s="114"/>
      <c r="J1062" s="715">
        <f>J1040</f>
        <v>0</v>
      </c>
    </row>
    <row r="1063" spans="1:10" s="55" customFormat="1" ht="17.100000000000001" hidden="1" customHeight="1">
      <c r="A1063" s="50" t="e">
        <f t="shared" si="43"/>
        <v>#REF!</v>
      </c>
      <c r="B1063" s="51"/>
      <c r="C1063" s="92" t="s">
        <v>1879</v>
      </c>
      <c r="D1063" s="171" t="s">
        <v>227</v>
      </c>
      <c r="E1063" s="180" t="s">
        <v>564</v>
      </c>
      <c r="F1063" s="174"/>
      <c r="G1063" s="175"/>
      <c r="H1063" s="173" t="e">
        <f>SUM(H1064:H1065)</f>
        <v>#REF!</v>
      </c>
      <c r="I1063" s="114"/>
      <c r="J1063" s="715">
        <f>J1040</f>
        <v>0</v>
      </c>
    </row>
    <row r="1064" spans="1:10" s="55" customFormat="1" ht="17.100000000000001" hidden="1" customHeight="1">
      <c r="A1064" s="50" t="e">
        <f t="shared" si="43"/>
        <v>#REF!</v>
      </c>
      <c r="B1064" s="51"/>
      <c r="C1064" s="51" t="s">
        <v>427</v>
      </c>
      <c r="D1064" s="52" t="s">
        <v>428</v>
      </c>
      <c r="E1064" s="1093">
        <f>paks</f>
        <v>0</v>
      </c>
      <c r="F1064" s="174"/>
      <c r="G1064" s="175"/>
      <c r="H1064" s="54" t="e">
        <f>(H1058+H1059+H1062)*E1064</f>
        <v>#REF!</v>
      </c>
      <c r="I1064" s="114"/>
      <c r="J1064" s="715">
        <f>J1040</f>
        <v>0</v>
      </c>
    </row>
    <row r="1065" spans="1:10" s="55" customFormat="1" ht="17.100000000000001" hidden="1" customHeight="1">
      <c r="A1065" s="50" t="e">
        <f t="shared" si="43"/>
        <v>#REF!</v>
      </c>
      <c r="B1065" s="51"/>
      <c r="C1065" s="51" t="s">
        <v>429</v>
      </c>
      <c r="D1065" s="52" t="s">
        <v>430</v>
      </c>
      <c r="E1065" s="1093">
        <f>bcks</f>
        <v>0.03</v>
      </c>
      <c r="F1065" s="53"/>
      <c r="G1065" s="113"/>
      <c r="H1065" s="54" t="e">
        <f>(H1058+H1059+H1062)*E1065</f>
        <v>#REF!</v>
      </c>
      <c r="I1065" s="114"/>
      <c r="J1065" s="715">
        <f>J1040</f>
        <v>0</v>
      </c>
    </row>
    <row r="1066" spans="1:10" s="55" customFormat="1" ht="17.100000000000001" hidden="1" customHeight="1">
      <c r="A1066" s="50" t="e">
        <f t="shared" si="43"/>
        <v>#REF!</v>
      </c>
      <c r="B1066" s="51"/>
      <c r="C1066" s="170" t="s">
        <v>565</v>
      </c>
      <c r="D1066" s="171" t="s">
        <v>218</v>
      </c>
      <c r="E1066" s="172" t="s">
        <v>566</v>
      </c>
      <c r="F1066" s="53"/>
      <c r="G1066" s="113"/>
      <c r="H1066" s="173" t="e">
        <f>H1058+H1059+H1062+H1063</f>
        <v>#REF!</v>
      </c>
      <c r="I1066" s="114"/>
      <c r="J1066" s="715">
        <f>J1040</f>
        <v>0</v>
      </c>
    </row>
    <row r="1067" spans="1:10" s="55" customFormat="1" ht="17.100000000000001" hidden="1" customHeight="1">
      <c r="A1067" s="50" t="e">
        <f t="shared" si="43"/>
        <v>#REF!</v>
      </c>
      <c r="B1067" s="51"/>
      <c r="C1067" s="51" t="s">
        <v>567</v>
      </c>
      <c r="D1067" s="52" t="s">
        <v>222</v>
      </c>
      <c r="E1067" s="112" t="s">
        <v>1917</v>
      </c>
      <c r="F1067" s="174"/>
      <c r="G1067" s="175"/>
      <c r="H1067" s="54" t="e">
        <f>ROUND(H1066*10/100,5)</f>
        <v>#REF!</v>
      </c>
      <c r="I1067" s="114"/>
      <c r="J1067" s="715">
        <f>J1040</f>
        <v>0</v>
      </c>
    </row>
    <row r="1068" spans="1:10" s="55" customFormat="1" ht="17.100000000000001" hidden="1" customHeight="1">
      <c r="A1068" s="50" t="e">
        <f t="shared" si="43"/>
        <v>#REF!</v>
      </c>
      <c r="B1068" s="51"/>
      <c r="C1068" s="170" t="s">
        <v>568</v>
      </c>
      <c r="D1068" s="171" t="s">
        <v>225</v>
      </c>
      <c r="E1068" s="172" t="s">
        <v>192</v>
      </c>
      <c r="F1068" s="53"/>
      <c r="G1068" s="117"/>
      <c r="H1068" s="56" t="e">
        <f>ROUND(H1066+H1067,5)</f>
        <v>#REF!</v>
      </c>
      <c r="I1068" s="115"/>
      <c r="J1068" s="715">
        <f>J1040</f>
        <v>0</v>
      </c>
    </row>
    <row r="1069" spans="1:10" s="263" customFormat="1" ht="17.100000000000001" hidden="1" customHeight="1">
      <c r="A1069" s="264" t="e">
        <f t="shared" si="43"/>
        <v>#REF!</v>
      </c>
      <c r="B1069" s="265" t="s">
        <v>387</v>
      </c>
      <c r="C1069" s="265" t="s">
        <v>1668</v>
      </c>
      <c r="D1069" s="266" t="s">
        <v>310</v>
      </c>
      <c r="E1069" s="270"/>
      <c r="F1069" s="267"/>
      <c r="G1069" s="271"/>
      <c r="H1069" s="268" t="e">
        <f>H1097</f>
        <v>#REF!</v>
      </c>
      <c r="I1069" s="272"/>
      <c r="J1069" s="273">
        <f>IF(SUMIF(Khaosat!$B$6:$B$47,'PT giaKS'!B1069,Khaosat!$I$6:$I$47)&lt;&gt;0,$J$6,0)</f>
        <v>0</v>
      </c>
    </row>
    <row r="1070" spans="1:10" s="55" customFormat="1" ht="17.100000000000001" hidden="1" customHeight="1">
      <c r="A1070" s="50" t="e">
        <f t="shared" si="43"/>
        <v>#REF!</v>
      </c>
      <c r="B1070" s="51"/>
      <c r="C1070" s="51" t="s">
        <v>128</v>
      </c>
      <c r="D1070" s="52" t="s">
        <v>0</v>
      </c>
      <c r="E1070" s="112"/>
      <c r="F1070" s="53"/>
      <c r="G1070" s="117"/>
      <c r="H1070" s="56">
        <f>ROUND(SUM(H1071:H1081),5)</f>
        <v>262337.98965</v>
      </c>
      <c r="I1070" s="115"/>
      <c r="J1070" s="110">
        <f>J1069</f>
        <v>0</v>
      </c>
    </row>
    <row r="1071" spans="1:10" s="55" customFormat="1" ht="17.100000000000001" hidden="1" customHeight="1">
      <c r="A1071" s="50" t="e">
        <f t="shared" si="43"/>
        <v>#REF!</v>
      </c>
      <c r="B1071" s="51"/>
      <c r="C1071" s="51" t="s">
        <v>466</v>
      </c>
      <c r="D1071" s="52" t="s">
        <v>82</v>
      </c>
      <c r="E1071" s="112">
        <f>0.08</f>
        <v>0.08</v>
      </c>
      <c r="F1071" s="53">
        <f>VLKS!Q44</f>
        <v>1400000</v>
      </c>
      <c r="G1071" s="117">
        <f t="shared" ref="G1071:G1080" si="44">hsvl</f>
        <v>1</v>
      </c>
      <c r="H1071" s="54">
        <f t="shared" ref="H1071:H1080" si="45">ROUND(E1071*F1071*G1071,5)</f>
        <v>112000</v>
      </c>
      <c r="I1071" s="114"/>
      <c r="J1071" s="110">
        <f>J1069</f>
        <v>0</v>
      </c>
    </row>
    <row r="1072" spans="1:10" s="55" customFormat="1" ht="17.100000000000001" hidden="1" customHeight="1">
      <c r="A1072" s="50" t="e">
        <f t="shared" si="43"/>
        <v>#REF!</v>
      </c>
      <c r="B1072" s="51"/>
      <c r="C1072" s="51" t="s">
        <v>467</v>
      </c>
      <c r="D1072" s="52" t="s">
        <v>451</v>
      </c>
      <c r="E1072" s="112">
        <f>0.024</f>
        <v>2.4E-2</v>
      </c>
      <c r="F1072" s="53">
        <f>VLKS!Q11</f>
        <v>1500000</v>
      </c>
      <c r="G1072" s="117">
        <f t="shared" si="44"/>
        <v>1</v>
      </c>
      <c r="H1072" s="54">
        <f t="shared" si="45"/>
        <v>36000</v>
      </c>
      <c r="I1072" s="114"/>
      <c r="J1072" s="110">
        <f>J1069</f>
        <v>0</v>
      </c>
    </row>
    <row r="1073" spans="1:10" s="55" customFormat="1" ht="17.100000000000001" hidden="1" customHeight="1">
      <c r="A1073" s="50" t="e">
        <f t="shared" si="43"/>
        <v>#REF!</v>
      </c>
      <c r="B1073" s="51"/>
      <c r="C1073" s="51" t="s">
        <v>449</v>
      </c>
      <c r="D1073" s="52" t="s">
        <v>129</v>
      </c>
      <c r="E1073" s="112">
        <f>0.05</f>
        <v>0.05</v>
      </c>
      <c r="F1073" s="53">
        <f>VLKS!Q24</f>
        <v>81818</v>
      </c>
      <c r="G1073" s="117">
        <f t="shared" si="44"/>
        <v>1</v>
      </c>
      <c r="H1073" s="54">
        <f t="shared" si="45"/>
        <v>4090.9</v>
      </c>
      <c r="I1073" s="114"/>
      <c r="J1073" s="110">
        <f>J1069</f>
        <v>0</v>
      </c>
    </row>
    <row r="1074" spans="1:10" s="55" customFormat="1" ht="17.100000000000001" hidden="1" customHeight="1">
      <c r="A1074" s="50" t="e">
        <f t="shared" si="43"/>
        <v>#REF!</v>
      </c>
      <c r="B1074" s="51"/>
      <c r="C1074" s="51" t="s">
        <v>462</v>
      </c>
      <c r="D1074" s="52" t="s">
        <v>451</v>
      </c>
      <c r="E1074" s="112">
        <f>0.016</f>
        <v>1.6E-2</v>
      </c>
      <c r="F1074" s="53">
        <f>VLKS!Q62</f>
        <v>185000</v>
      </c>
      <c r="G1074" s="117">
        <f t="shared" si="44"/>
        <v>1</v>
      </c>
      <c r="H1074" s="54">
        <f t="shared" si="45"/>
        <v>2960</v>
      </c>
      <c r="I1074" s="114"/>
      <c r="J1074" s="110">
        <f>J1069</f>
        <v>0</v>
      </c>
    </row>
    <row r="1075" spans="1:10" s="55" customFormat="1" ht="17.100000000000001" hidden="1" customHeight="1">
      <c r="A1075" s="50" t="e">
        <f t="shared" si="43"/>
        <v>#REF!</v>
      </c>
      <c r="B1075" s="51"/>
      <c r="C1075" s="51" t="s">
        <v>452</v>
      </c>
      <c r="D1075" s="52" t="s">
        <v>129</v>
      </c>
      <c r="E1075" s="112">
        <f>0.02</f>
        <v>0.02</v>
      </c>
      <c r="F1075" s="53">
        <f>VLKS!Q65</f>
        <v>130000</v>
      </c>
      <c r="G1075" s="117">
        <f t="shared" si="44"/>
        <v>1</v>
      </c>
      <c r="H1075" s="54">
        <f t="shared" si="45"/>
        <v>2600</v>
      </c>
      <c r="I1075" s="114"/>
      <c r="J1075" s="110">
        <f>J1069</f>
        <v>0</v>
      </c>
    </row>
    <row r="1076" spans="1:10" s="55" customFormat="1" ht="17.100000000000001" hidden="1" customHeight="1">
      <c r="A1076" s="50" t="e">
        <f t="shared" si="43"/>
        <v>#REF!</v>
      </c>
      <c r="B1076" s="51"/>
      <c r="C1076" s="51" t="s">
        <v>453</v>
      </c>
      <c r="D1076" s="52" t="s">
        <v>82</v>
      </c>
      <c r="E1076" s="112">
        <f>0.007</f>
        <v>7.0000000000000001E-3</v>
      </c>
      <c r="F1076" s="53">
        <f>VLKS!Q63</f>
        <v>100000</v>
      </c>
      <c r="G1076" s="117">
        <f t="shared" si="44"/>
        <v>1</v>
      </c>
      <c r="H1076" s="54">
        <f t="shared" si="45"/>
        <v>700</v>
      </c>
      <c r="I1076" s="114"/>
      <c r="J1076" s="110">
        <f>J1069</f>
        <v>0</v>
      </c>
    </row>
    <row r="1077" spans="1:10" s="55" customFormat="1" ht="17.100000000000001" hidden="1" customHeight="1">
      <c r="A1077" s="50" t="e">
        <f t="shared" si="43"/>
        <v>#REF!</v>
      </c>
      <c r="B1077" s="51"/>
      <c r="C1077" s="51" t="s">
        <v>463</v>
      </c>
      <c r="D1077" s="52" t="s">
        <v>129</v>
      </c>
      <c r="E1077" s="112">
        <f>0.04</f>
        <v>0.04</v>
      </c>
      <c r="F1077" s="53">
        <f>VLKS!Q69</f>
        <v>350000</v>
      </c>
      <c r="G1077" s="117">
        <f t="shared" si="44"/>
        <v>1</v>
      </c>
      <c r="H1077" s="54">
        <f t="shared" si="45"/>
        <v>14000</v>
      </c>
      <c r="I1077" s="114"/>
      <c r="J1077" s="110">
        <f>J1069</f>
        <v>0</v>
      </c>
    </row>
    <row r="1078" spans="1:10" s="55" customFormat="1" ht="17.100000000000001" hidden="1" customHeight="1">
      <c r="A1078" s="50" t="e">
        <f t="shared" si="43"/>
        <v>#REF!</v>
      </c>
      <c r="B1078" s="51"/>
      <c r="C1078" s="51" t="s">
        <v>464</v>
      </c>
      <c r="D1078" s="52" t="s">
        <v>82</v>
      </c>
      <c r="E1078" s="112">
        <f>0.002</f>
        <v>2E-3</v>
      </c>
      <c r="F1078" s="53">
        <f>VLKS!Q68</f>
        <v>910000</v>
      </c>
      <c r="G1078" s="117">
        <f t="shared" si="44"/>
        <v>1</v>
      </c>
      <c r="H1078" s="54">
        <f t="shared" si="45"/>
        <v>1820</v>
      </c>
      <c r="I1078" s="114"/>
      <c r="J1078" s="110">
        <f>J1069</f>
        <v>0</v>
      </c>
    </row>
    <row r="1079" spans="1:10" s="55" customFormat="1" ht="17.100000000000001" hidden="1" customHeight="1">
      <c r="A1079" s="50" t="e">
        <f t="shared" si="43"/>
        <v>#REF!</v>
      </c>
      <c r="B1079" s="51"/>
      <c r="C1079" s="51" t="s">
        <v>456</v>
      </c>
      <c r="D1079" s="52" t="s">
        <v>82</v>
      </c>
      <c r="E1079" s="112">
        <f>0.5</f>
        <v>0.5</v>
      </c>
      <c r="F1079" s="53">
        <f>VLKS!Q37</f>
        <v>100000</v>
      </c>
      <c r="G1079" s="117">
        <f t="shared" si="44"/>
        <v>1</v>
      </c>
      <c r="H1079" s="54">
        <f t="shared" si="45"/>
        <v>50000</v>
      </c>
      <c r="I1079" s="114"/>
      <c r="J1079" s="110">
        <f>J1069</f>
        <v>0</v>
      </c>
    </row>
    <row r="1080" spans="1:10" s="55" customFormat="1" ht="17.100000000000001" hidden="1" customHeight="1">
      <c r="A1080" s="50" t="e">
        <f t="shared" si="43"/>
        <v>#REF!</v>
      </c>
      <c r="B1080" s="51"/>
      <c r="C1080" s="51" t="s">
        <v>459</v>
      </c>
      <c r="D1080" s="52" t="s">
        <v>7</v>
      </c>
      <c r="E1080" s="112">
        <f>0.0035</f>
        <v>3.5000000000000001E-3</v>
      </c>
      <c r="F1080" s="53">
        <f>VLKS!Q34</f>
        <v>4090909</v>
      </c>
      <c r="G1080" s="117">
        <f t="shared" si="44"/>
        <v>1</v>
      </c>
      <c r="H1080" s="54">
        <f t="shared" si="45"/>
        <v>14318.181500000001</v>
      </c>
      <c r="I1080" s="114"/>
      <c r="J1080" s="110">
        <f>J1069</f>
        <v>0</v>
      </c>
    </row>
    <row r="1081" spans="1:10" s="55" customFormat="1" ht="17.100000000000001" hidden="1" customHeight="1">
      <c r="A1081" s="50" t="e">
        <f t="shared" si="43"/>
        <v>#REF!</v>
      </c>
      <c r="B1081" s="51"/>
      <c r="C1081" s="51" t="s">
        <v>127</v>
      </c>
      <c r="D1081" s="52" t="s">
        <v>126</v>
      </c>
      <c r="E1081" s="112">
        <f>10</f>
        <v>10</v>
      </c>
      <c r="F1081" s="53"/>
      <c r="G1081" s="117"/>
      <c r="H1081" s="54">
        <f>ROUND(SUM(H1071:H1080)*E1081/100,5)</f>
        <v>23848.908149999999</v>
      </c>
      <c r="I1081" s="114"/>
      <c r="J1081" s="110">
        <f>J1069</f>
        <v>0</v>
      </c>
    </row>
    <row r="1082" spans="1:10" s="55" customFormat="1" ht="17.100000000000001" hidden="1" customHeight="1">
      <c r="A1082" s="50" t="e">
        <f t="shared" si="43"/>
        <v>#REF!</v>
      </c>
      <c r="B1082" s="51"/>
      <c r="C1082" s="51" t="s">
        <v>125</v>
      </c>
      <c r="D1082" s="52" t="s">
        <v>0</v>
      </c>
      <c r="E1082" s="112"/>
      <c r="F1082" s="53"/>
      <c r="G1082" s="117"/>
      <c r="H1082" s="56" t="e">
        <f>ROUND(SUM(H1083:H1083),5)</f>
        <v>#REF!</v>
      </c>
      <c r="I1082" s="115"/>
      <c r="J1082" s="110">
        <f>J1069</f>
        <v>0</v>
      </c>
    </row>
    <row r="1083" spans="1:10" s="55" customFormat="1" ht="17.100000000000001" hidden="1" customHeight="1">
      <c r="A1083" s="50" t="e">
        <f t="shared" si="43"/>
        <v>#REF!</v>
      </c>
      <c r="B1083" s="51"/>
      <c r="C1083" s="51" t="s">
        <v>424</v>
      </c>
      <c r="D1083" s="52" t="s">
        <v>3</v>
      </c>
      <c r="E1083" s="112">
        <f>4.73</f>
        <v>4.7300000000000004</v>
      </c>
      <c r="F1083" s="53" t="e">
        <f>'NC,M KS'!P6</f>
        <v>#REF!</v>
      </c>
      <c r="G1083" s="117">
        <f>hsnc</f>
        <v>1</v>
      </c>
      <c r="H1083" s="54" t="e">
        <f>ROUND(E1083*F1083*G1083,5)</f>
        <v>#REF!</v>
      </c>
      <c r="I1083" s="114"/>
      <c r="J1083" s="110">
        <f>J1069</f>
        <v>0</v>
      </c>
    </row>
    <row r="1084" spans="1:10" s="55" customFormat="1" ht="17.100000000000001" hidden="1" customHeight="1">
      <c r="A1084" s="50" t="e">
        <f t="shared" si="43"/>
        <v>#REF!</v>
      </c>
      <c r="B1084" s="51"/>
      <c r="C1084" s="51" t="s">
        <v>124</v>
      </c>
      <c r="D1084" s="52" t="s">
        <v>0</v>
      </c>
      <c r="E1084" s="112"/>
      <c r="F1084" s="53"/>
      <c r="G1084" s="117"/>
      <c r="H1084" s="56">
        <f>ROUND(SUM(H1085:H1086),5)</f>
        <v>38458.533329999998</v>
      </c>
      <c r="I1084" s="115"/>
      <c r="J1084" s="110">
        <f>J1069</f>
        <v>0</v>
      </c>
    </row>
    <row r="1085" spans="1:10" s="55" customFormat="1" ht="17.100000000000001" hidden="1" customHeight="1">
      <c r="A1085" s="50" t="e">
        <f t="shared" si="43"/>
        <v>#REF!</v>
      </c>
      <c r="B1085" s="51"/>
      <c r="C1085" s="51" t="s">
        <v>465</v>
      </c>
      <c r="D1085" s="52" t="s">
        <v>4</v>
      </c>
      <c r="E1085" s="112">
        <f>0.47</f>
        <v>0.47</v>
      </c>
      <c r="F1085" s="53">
        <f>'NC,M KS'!P23</f>
        <v>80222.222222222219</v>
      </c>
      <c r="G1085" s="117">
        <f>hsm</f>
        <v>1</v>
      </c>
      <c r="H1085" s="54">
        <f>ROUND(E1085*F1085*G1085,5)</f>
        <v>37704.444439999999</v>
      </c>
      <c r="I1085" s="114"/>
      <c r="J1085" s="110">
        <f>J1069</f>
        <v>0</v>
      </c>
    </row>
    <row r="1086" spans="1:10" s="55" customFormat="1" ht="17.100000000000001" hidden="1" customHeight="1">
      <c r="A1086" s="50" t="e">
        <f t="shared" si="43"/>
        <v>#REF!</v>
      </c>
      <c r="B1086" s="51"/>
      <c r="C1086" s="51" t="s">
        <v>130</v>
      </c>
      <c r="D1086" s="52" t="s">
        <v>126</v>
      </c>
      <c r="E1086" s="112">
        <f>2</f>
        <v>2</v>
      </c>
      <c r="F1086" s="53"/>
      <c r="G1086" s="117"/>
      <c r="H1086" s="54">
        <f>ROUND(SUM(H1085:H1085)*E1086/100,5)</f>
        <v>754.08888999999999</v>
      </c>
      <c r="I1086" s="114"/>
      <c r="J1086" s="110">
        <f>J1069</f>
        <v>0</v>
      </c>
    </row>
    <row r="1087" spans="1:10" s="55" customFormat="1" ht="17.100000000000001" hidden="1" customHeight="1">
      <c r="A1087" s="50" t="e">
        <f t="shared" si="43"/>
        <v>#REF!</v>
      </c>
      <c r="B1087" s="51"/>
      <c r="C1087" s="170" t="s">
        <v>556</v>
      </c>
      <c r="D1087" s="171" t="s">
        <v>136</v>
      </c>
      <c r="E1087" s="172" t="s">
        <v>205</v>
      </c>
      <c r="F1087" s="53"/>
      <c r="G1087" s="117"/>
      <c r="H1087" s="173" t="e">
        <f>ROUND(H1070+H1082+H1084,5)</f>
        <v>#REF!</v>
      </c>
      <c r="I1087" s="114"/>
      <c r="J1087" s="110">
        <f>J1069</f>
        <v>0</v>
      </c>
    </row>
    <row r="1088" spans="1:10" s="55" customFormat="1" ht="17.100000000000001" hidden="1" customHeight="1">
      <c r="A1088" s="50" t="e">
        <f t="shared" si="43"/>
        <v>#REF!</v>
      </c>
      <c r="B1088" s="51"/>
      <c r="C1088" s="170" t="s">
        <v>557</v>
      </c>
      <c r="D1088" s="171" t="s">
        <v>204</v>
      </c>
      <c r="E1088" s="172" t="s">
        <v>558</v>
      </c>
      <c r="F1088" s="53"/>
      <c r="G1088" s="117"/>
      <c r="H1088" s="173" t="e">
        <f>SUM(H1089:H1090)</f>
        <v>#REF!</v>
      </c>
      <c r="I1088" s="114"/>
      <c r="J1088" s="110">
        <f>J1069</f>
        <v>0</v>
      </c>
    </row>
    <row r="1089" spans="1:10" s="55" customFormat="1" ht="17.100000000000001" hidden="1" customHeight="1">
      <c r="A1089" s="50" t="e">
        <f t="shared" si="43"/>
        <v>#REF!</v>
      </c>
      <c r="B1089" s="51"/>
      <c r="C1089" s="51" t="s">
        <v>426</v>
      </c>
      <c r="D1089" s="52" t="s">
        <v>559</v>
      </c>
      <c r="E1089" s="116">
        <f>cpc</f>
        <v>0.7</v>
      </c>
      <c r="F1089" s="174"/>
      <c r="G1089" s="175"/>
      <c r="H1089" s="54" t="e">
        <f>E1089*H1082</f>
        <v>#REF!</v>
      </c>
      <c r="I1089" s="114"/>
      <c r="J1089" s="715">
        <f>J1069</f>
        <v>0</v>
      </c>
    </row>
    <row r="1090" spans="1:10" s="55" customFormat="1" ht="17.100000000000001" hidden="1" customHeight="1">
      <c r="A1090" s="50" t="e">
        <f t="shared" si="43"/>
        <v>#REF!</v>
      </c>
      <c r="B1090" s="51"/>
      <c r="C1090" s="78" t="s">
        <v>560</v>
      </c>
      <c r="D1090" s="79" t="s">
        <v>561</v>
      </c>
      <c r="E1090" s="176">
        <f>hmc</f>
        <v>0.05</v>
      </c>
      <c r="F1090" s="53"/>
      <c r="G1090" s="113"/>
      <c r="H1090" s="54" t="e">
        <f>E1090*H1087</f>
        <v>#REF!</v>
      </c>
      <c r="I1090" s="114"/>
      <c r="J1090" s="715">
        <f>J1069</f>
        <v>0</v>
      </c>
    </row>
    <row r="1091" spans="1:10" s="55" customFormat="1" ht="17.100000000000001" hidden="1" customHeight="1">
      <c r="A1091" s="50" t="e">
        <f t="shared" si="43"/>
        <v>#REF!</v>
      </c>
      <c r="B1091" s="51"/>
      <c r="C1091" s="170" t="s">
        <v>562</v>
      </c>
      <c r="D1091" s="171" t="s">
        <v>563</v>
      </c>
      <c r="E1091" s="179">
        <f>tn</f>
        <v>0.06</v>
      </c>
      <c r="F1091" s="177"/>
      <c r="G1091" s="178"/>
      <c r="H1091" s="181" t="e">
        <f>SUM(H1087:H1088)*E1091</f>
        <v>#REF!</v>
      </c>
      <c r="I1091" s="114"/>
      <c r="J1091" s="715">
        <f>J1069</f>
        <v>0</v>
      </c>
    </row>
    <row r="1092" spans="1:10" s="55" customFormat="1" ht="17.100000000000001" hidden="1" customHeight="1">
      <c r="A1092" s="50" t="e">
        <f t="shared" si="43"/>
        <v>#REF!</v>
      </c>
      <c r="B1092" s="51"/>
      <c r="C1092" s="92" t="s">
        <v>1879</v>
      </c>
      <c r="D1092" s="171" t="s">
        <v>227</v>
      </c>
      <c r="E1092" s="180" t="s">
        <v>564</v>
      </c>
      <c r="F1092" s="174"/>
      <c r="G1092" s="175"/>
      <c r="H1092" s="173" t="e">
        <f>SUM(H1093:H1094)</f>
        <v>#REF!</v>
      </c>
      <c r="I1092" s="114"/>
      <c r="J1092" s="715">
        <f>J1069</f>
        <v>0</v>
      </c>
    </row>
    <row r="1093" spans="1:10" s="55" customFormat="1" ht="17.100000000000001" hidden="1" customHeight="1">
      <c r="A1093" s="50" t="e">
        <f t="shared" si="43"/>
        <v>#REF!</v>
      </c>
      <c r="B1093" s="51"/>
      <c r="C1093" s="51" t="s">
        <v>427</v>
      </c>
      <c r="D1093" s="52" t="s">
        <v>428</v>
      </c>
      <c r="E1093" s="1093">
        <f>paks</f>
        <v>0</v>
      </c>
      <c r="F1093" s="174"/>
      <c r="G1093" s="175"/>
      <c r="H1093" s="54" t="e">
        <f>(H1087+H1088+H1091)*E1093</f>
        <v>#REF!</v>
      </c>
      <c r="I1093" s="114"/>
      <c r="J1093" s="715">
        <f>J1069</f>
        <v>0</v>
      </c>
    </row>
    <row r="1094" spans="1:10" s="55" customFormat="1" ht="17.100000000000001" hidden="1" customHeight="1">
      <c r="A1094" s="50" t="e">
        <f t="shared" si="43"/>
        <v>#REF!</v>
      </c>
      <c r="B1094" s="51"/>
      <c r="C1094" s="51" t="s">
        <v>429</v>
      </c>
      <c r="D1094" s="52" t="s">
        <v>430</v>
      </c>
      <c r="E1094" s="1093">
        <f>bcks</f>
        <v>0.03</v>
      </c>
      <c r="F1094" s="53"/>
      <c r="G1094" s="113"/>
      <c r="H1094" s="54" t="e">
        <f>(H1087+H1088+H1091)*E1094</f>
        <v>#REF!</v>
      </c>
      <c r="I1094" s="114"/>
      <c r="J1094" s="715">
        <f>J1069</f>
        <v>0</v>
      </c>
    </row>
    <row r="1095" spans="1:10" s="55" customFormat="1" ht="17.100000000000001" hidden="1" customHeight="1">
      <c r="A1095" s="50" t="e">
        <f t="shared" si="43"/>
        <v>#REF!</v>
      </c>
      <c r="B1095" s="51"/>
      <c r="C1095" s="170" t="s">
        <v>565</v>
      </c>
      <c r="D1095" s="171" t="s">
        <v>218</v>
      </c>
      <c r="E1095" s="172" t="s">
        <v>566</v>
      </c>
      <c r="F1095" s="53"/>
      <c r="G1095" s="113"/>
      <c r="H1095" s="173" t="e">
        <f>H1087+H1088+H1091+H1092</f>
        <v>#REF!</v>
      </c>
      <c r="I1095" s="114"/>
      <c r="J1095" s="715">
        <f>J1069</f>
        <v>0</v>
      </c>
    </row>
    <row r="1096" spans="1:10" s="55" customFormat="1" ht="17.100000000000001" hidden="1" customHeight="1">
      <c r="A1096" s="50" t="e">
        <f t="shared" si="43"/>
        <v>#REF!</v>
      </c>
      <c r="B1096" s="51"/>
      <c r="C1096" s="51" t="s">
        <v>567</v>
      </c>
      <c r="D1096" s="52" t="s">
        <v>222</v>
      </c>
      <c r="E1096" s="112" t="s">
        <v>1917</v>
      </c>
      <c r="F1096" s="174"/>
      <c r="G1096" s="175"/>
      <c r="H1096" s="54" t="e">
        <f>ROUND(H1095*10/100,5)</f>
        <v>#REF!</v>
      </c>
      <c r="I1096" s="114"/>
      <c r="J1096" s="715">
        <f>J1069</f>
        <v>0</v>
      </c>
    </row>
    <row r="1097" spans="1:10" s="55" customFormat="1" ht="17.100000000000001" hidden="1" customHeight="1">
      <c r="A1097" s="50" t="e">
        <f t="shared" si="43"/>
        <v>#REF!</v>
      </c>
      <c r="B1097" s="51"/>
      <c r="C1097" s="170" t="s">
        <v>568</v>
      </c>
      <c r="D1097" s="171" t="s">
        <v>225</v>
      </c>
      <c r="E1097" s="172" t="s">
        <v>192</v>
      </c>
      <c r="F1097" s="53"/>
      <c r="G1097" s="117"/>
      <c r="H1097" s="56" t="e">
        <f>ROUND(H1095+H1096,5)</f>
        <v>#REF!</v>
      </c>
      <c r="I1097" s="115"/>
      <c r="J1097" s="715">
        <f>J1069</f>
        <v>0</v>
      </c>
    </row>
    <row r="1098" spans="1:10" s="263" customFormat="1" ht="17.100000000000001" customHeight="1">
      <c r="A1098" s="264" t="e">
        <f t="shared" si="43"/>
        <v>#REF!</v>
      </c>
      <c r="B1098" s="265" t="s">
        <v>112</v>
      </c>
      <c r="C1098" s="265" t="s">
        <v>305</v>
      </c>
      <c r="D1098" s="266" t="s">
        <v>388</v>
      </c>
      <c r="E1098" s="270"/>
      <c r="F1098" s="267"/>
      <c r="G1098" s="271"/>
      <c r="H1098" s="268" t="e">
        <f>H1111</f>
        <v>#REF!</v>
      </c>
      <c r="I1098" s="272"/>
      <c r="J1098" s="273" t="e">
        <f>IF(SUMIF(Khaosat!$B$6:$B$47,'PT giaKS'!B1098,Khaosat!$I$6:$I$47)&lt;&gt;0,$J$6,0)</f>
        <v>#REF!</v>
      </c>
    </row>
    <row r="1099" spans="1:10" s="55" customFormat="1" ht="17.100000000000001" customHeight="1">
      <c r="A1099" s="295" t="e">
        <f t="shared" si="43"/>
        <v>#REF!</v>
      </c>
      <c r="B1099" s="51"/>
      <c r="C1099" s="51" t="s">
        <v>125</v>
      </c>
      <c r="D1099" s="52" t="s">
        <v>0</v>
      </c>
      <c r="E1099" s="112"/>
      <c r="F1099" s="53"/>
      <c r="G1099" s="117"/>
      <c r="H1099" s="56" t="e">
        <f>ROUND(SUM(H1100:H1100),5)</f>
        <v>#REF!</v>
      </c>
      <c r="I1099" s="115"/>
      <c r="J1099" s="110" t="e">
        <f>J1098</f>
        <v>#REF!</v>
      </c>
    </row>
    <row r="1100" spans="1:10" s="55" customFormat="1" ht="17.100000000000001" customHeight="1">
      <c r="A1100" s="295" t="e">
        <f t="shared" si="43"/>
        <v>#REF!</v>
      </c>
      <c r="B1100" s="51"/>
      <c r="C1100" s="51" t="s">
        <v>468</v>
      </c>
      <c r="D1100" s="52" t="s">
        <v>3</v>
      </c>
      <c r="E1100" s="112">
        <f>1</f>
        <v>1</v>
      </c>
      <c r="F1100" s="53" t="e">
        <f>'NC,M KS'!$P$5</f>
        <v>#REF!</v>
      </c>
      <c r="G1100" s="117">
        <f>hsnc</f>
        <v>1</v>
      </c>
      <c r="H1100" s="54" t="e">
        <f>ROUND(E1100*F1100*G1100,5)</f>
        <v>#REF!</v>
      </c>
      <c r="I1100" s="114"/>
      <c r="J1100" s="110" t="e">
        <f>J1098</f>
        <v>#REF!</v>
      </c>
    </row>
    <row r="1101" spans="1:10" s="55" customFormat="1" ht="17.100000000000001" customHeight="1">
      <c r="A1101" s="295" t="e">
        <f t="shared" si="43"/>
        <v>#REF!</v>
      </c>
      <c r="B1101" s="51"/>
      <c r="C1101" s="170" t="s">
        <v>556</v>
      </c>
      <c r="D1101" s="171" t="s">
        <v>136</v>
      </c>
      <c r="E1101" s="172" t="s">
        <v>205</v>
      </c>
      <c r="F1101" s="53"/>
      <c r="G1101" s="117"/>
      <c r="H1101" s="173" t="e">
        <f>ROUND(0+H1099+0,5)</f>
        <v>#REF!</v>
      </c>
      <c r="I1101" s="114"/>
      <c r="J1101" s="110" t="e">
        <f>J1098</f>
        <v>#REF!</v>
      </c>
    </row>
    <row r="1102" spans="1:10" s="55" customFormat="1" ht="17.100000000000001" customHeight="1">
      <c r="A1102" s="295" t="e">
        <f t="shared" si="43"/>
        <v>#REF!</v>
      </c>
      <c r="B1102" s="51"/>
      <c r="C1102" s="170" t="s">
        <v>557</v>
      </c>
      <c r="D1102" s="171" t="s">
        <v>204</v>
      </c>
      <c r="E1102" s="172" t="s">
        <v>558</v>
      </c>
      <c r="F1102" s="53"/>
      <c r="G1102" s="117"/>
      <c r="H1102" s="173" t="e">
        <f>SUM(H1103:H1104)</f>
        <v>#REF!</v>
      </c>
      <c r="I1102" s="114"/>
      <c r="J1102" s="110" t="e">
        <f>J1098</f>
        <v>#REF!</v>
      </c>
    </row>
    <row r="1103" spans="1:10" s="55" customFormat="1" ht="17.100000000000001" customHeight="1">
      <c r="A1103" s="295" t="e">
        <f t="shared" si="43"/>
        <v>#REF!</v>
      </c>
      <c r="B1103" s="51"/>
      <c r="C1103" s="51" t="s">
        <v>426</v>
      </c>
      <c r="D1103" s="52" t="s">
        <v>559</v>
      </c>
      <c r="E1103" s="116">
        <f>cpc</f>
        <v>0.7</v>
      </c>
      <c r="F1103" s="174"/>
      <c r="G1103" s="175"/>
      <c r="H1103" s="54" t="e">
        <f>E1103*H1099</f>
        <v>#REF!</v>
      </c>
      <c r="I1103" s="114"/>
      <c r="J1103" s="110" t="e">
        <f>J1098</f>
        <v>#REF!</v>
      </c>
    </row>
    <row r="1104" spans="1:10" s="55" customFormat="1" ht="30">
      <c r="A1104" s="295" t="e">
        <f t="shared" si="43"/>
        <v>#REF!</v>
      </c>
      <c r="B1104" s="51"/>
      <c r="C1104" s="78" t="s">
        <v>560</v>
      </c>
      <c r="D1104" s="79" t="s">
        <v>561</v>
      </c>
      <c r="E1104" s="176">
        <f>hmc</f>
        <v>0.05</v>
      </c>
      <c r="F1104" s="53"/>
      <c r="G1104" s="113"/>
      <c r="H1104" s="54" t="e">
        <f>E1104*H1101</f>
        <v>#REF!</v>
      </c>
      <c r="I1104" s="114"/>
      <c r="J1104" s="110" t="e">
        <f>J1098</f>
        <v>#REF!</v>
      </c>
    </row>
    <row r="1105" spans="1:10" s="55" customFormat="1" ht="17.100000000000001" customHeight="1">
      <c r="A1105" s="295" t="e">
        <f t="shared" si="43"/>
        <v>#REF!</v>
      </c>
      <c r="B1105" s="51"/>
      <c r="C1105" s="170" t="s">
        <v>562</v>
      </c>
      <c r="D1105" s="171" t="s">
        <v>563</v>
      </c>
      <c r="E1105" s="179">
        <f>tn</f>
        <v>0.06</v>
      </c>
      <c r="F1105" s="177"/>
      <c r="G1105" s="178"/>
      <c r="H1105" s="181" t="e">
        <f>SUM(H1101:H1102)*E1105</f>
        <v>#REF!</v>
      </c>
      <c r="I1105" s="114"/>
      <c r="J1105" s="110" t="e">
        <f>J1098</f>
        <v>#REF!</v>
      </c>
    </row>
    <row r="1106" spans="1:10" s="55" customFormat="1" ht="17.100000000000001" customHeight="1">
      <c r="A1106" s="295" t="e">
        <f t="shared" si="43"/>
        <v>#REF!</v>
      </c>
      <c r="B1106" s="51"/>
      <c r="C1106" s="92" t="s">
        <v>1879</v>
      </c>
      <c r="D1106" s="171" t="s">
        <v>227</v>
      </c>
      <c r="E1106" s="180" t="s">
        <v>564</v>
      </c>
      <c r="F1106" s="174"/>
      <c r="G1106" s="175"/>
      <c r="H1106" s="173" t="e">
        <f>SUM(H1107:H1108)</f>
        <v>#REF!</v>
      </c>
      <c r="I1106" s="114"/>
      <c r="J1106" s="110" t="e">
        <f>J1098</f>
        <v>#REF!</v>
      </c>
    </row>
    <row r="1107" spans="1:10" s="55" customFormat="1" ht="17.100000000000001" customHeight="1">
      <c r="A1107" s="295" t="e">
        <f t="shared" si="43"/>
        <v>#REF!</v>
      </c>
      <c r="B1107" s="51"/>
      <c r="C1107" s="51" t="s">
        <v>427</v>
      </c>
      <c r="D1107" s="52" t="s">
        <v>428</v>
      </c>
      <c r="E1107" s="1093">
        <f>paks</f>
        <v>0</v>
      </c>
      <c r="F1107" s="174"/>
      <c r="G1107" s="175"/>
      <c r="H1107" s="54" t="e">
        <f>(H1101+H1102+H1105)*E1107</f>
        <v>#REF!</v>
      </c>
      <c r="I1107" s="114"/>
      <c r="J1107" s="110" t="e">
        <f>J1098</f>
        <v>#REF!</v>
      </c>
    </row>
    <row r="1108" spans="1:10" s="55" customFormat="1" ht="17.100000000000001" customHeight="1">
      <c r="A1108" s="295" t="e">
        <f t="shared" si="43"/>
        <v>#REF!</v>
      </c>
      <c r="B1108" s="51"/>
      <c r="C1108" s="51" t="s">
        <v>429</v>
      </c>
      <c r="D1108" s="52" t="s">
        <v>430</v>
      </c>
      <c r="E1108" s="1093">
        <f>bcks</f>
        <v>0.03</v>
      </c>
      <c r="F1108" s="53"/>
      <c r="G1108" s="113"/>
      <c r="H1108" s="54" t="e">
        <f>(H1101+H1102+H1105)*E1108</f>
        <v>#REF!</v>
      </c>
      <c r="I1108" s="114"/>
      <c r="J1108" s="110" t="e">
        <f>J1098</f>
        <v>#REF!</v>
      </c>
    </row>
    <row r="1109" spans="1:10" s="55" customFormat="1" ht="17.100000000000001" customHeight="1">
      <c r="A1109" s="295" t="e">
        <f t="shared" si="43"/>
        <v>#REF!</v>
      </c>
      <c r="B1109" s="51"/>
      <c r="C1109" s="170" t="s">
        <v>565</v>
      </c>
      <c r="D1109" s="171" t="s">
        <v>218</v>
      </c>
      <c r="E1109" s="172" t="s">
        <v>566</v>
      </c>
      <c r="F1109" s="53"/>
      <c r="G1109" s="113"/>
      <c r="H1109" s="173" t="e">
        <f>H1101+H1102+H1105+H1106</f>
        <v>#REF!</v>
      </c>
      <c r="I1109" s="114"/>
      <c r="J1109" s="110" t="e">
        <f>J1098</f>
        <v>#REF!</v>
      </c>
    </row>
    <row r="1110" spans="1:10" s="55" customFormat="1" ht="17.100000000000001" customHeight="1">
      <c r="A1110" s="295" t="e">
        <f t="shared" si="43"/>
        <v>#REF!</v>
      </c>
      <c r="B1110" s="51"/>
      <c r="C1110" s="51" t="s">
        <v>567</v>
      </c>
      <c r="D1110" s="52" t="s">
        <v>222</v>
      </c>
      <c r="E1110" s="112" t="s">
        <v>1917</v>
      </c>
      <c r="F1110" s="174"/>
      <c r="G1110" s="175"/>
      <c r="H1110" s="54" t="e">
        <f>ROUND(H1109*10/100,5)</f>
        <v>#REF!</v>
      </c>
      <c r="I1110" s="114"/>
      <c r="J1110" s="110" t="e">
        <f>J1098</f>
        <v>#REF!</v>
      </c>
    </row>
    <row r="1111" spans="1:10" s="55" customFormat="1" ht="17.100000000000001" customHeight="1">
      <c r="A1111" s="295" t="e">
        <f t="shared" si="43"/>
        <v>#REF!</v>
      </c>
      <c r="B1111" s="51"/>
      <c r="C1111" s="170" t="s">
        <v>568</v>
      </c>
      <c r="D1111" s="171" t="s">
        <v>225</v>
      </c>
      <c r="E1111" s="172" t="s">
        <v>192</v>
      </c>
      <c r="F1111" s="53"/>
      <c r="G1111" s="117"/>
      <c r="H1111" s="56" t="e">
        <f>ROUND(H1109+H1110,5)</f>
        <v>#REF!</v>
      </c>
      <c r="I1111" s="115"/>
      <c r="J1111" s="110" t="e">
        <f>J1098</f>
        <v>#REF!</v>
      </c>
    </row>
    <row r="1112" spans="1:10" s="263" customFormat="1" ht="17.100000000000001" hidden="1" customHeight="1">
      <c r="A1112" s="264" t="e">
        <f t="shared" si="43"/>
        <v>#REF!</v>
      </c>
      <c r="B1112" s="265" t="s">
        <v>1891</v>
      </c>
      <c r="C1112" s="265" t="s">
        <v>1894</v>
      </c>
      <c r="D1112" s="266" t="s">
        <v>388</v>
      </c>
      <c r="E1112" s="270"/>
      <c r="F1112" s="267"/>
      <c r="G1112" s="271"/>
      <c r="H1112" s="268" t="e">
        <f>H1125</f>
        <v>#REF!</v>
      </c>
      <c r="I1112" s="272"/>
      <c r="J1112" s="273">
        <f>IF(SUMIF(Khaosat!$B$6:$B$47,'PT giaKS'!B1112,Khaosat!$I$6:$I$47)&lt;&gt;0,$J$6,0)</f>
        <v>0</v>
      </c>
    </row>
    <row r="1113" spans="1:10" s="55" customFormat="1" ht="17.100000000000001" hidden="1" customHeight="1">
      <c r="A1113" s="295" t="e">
        <f t="shared" ref="A1113:A1125" si="46">IF(B1113&lt;&gt;0,A1112+J1113,A1112)</f>
        <v>#REF!</v>
      </c>
      <c r="B1113" s="51"/>
      <c r="C1113" s="51" t="s">
        <v>125</v>
      </c>
      <c r="D1113" s="52" t="s">
        <v>0</v>
      </c>
      <c r="E1113" s="112"/>
      <c r="F1113" s="53"/>
      <c r="G1113" s="117"/>
      <c r="H1113" s="56" t="e">
        <f>ROUND(SUM(H1114:H1114),5)</f>
        <v>#REF!</v>
      </c>
      <c r="I1113" s="115"/>
      <c r="J1113" s="110">
        <f>J1112</f>
        <v>0</v>
      </c>
    </row>
    <row r="1114" spans="1:10" s="55" customFormat="1" ht="17.100000000000001" hidden="1" customHeight="1">
      <c r="A1114" s="295" t="e">
        <f t="shared" si="46"/>
        <v>#REF!</v>
      </c>
      <c r="B1114" s="51"/>
      <c r="C1114" s="51" t="s">
        <v>424</v>
      </c>
      <c r="D1114" s="52" t="s">
        <v>3</v>
      </c>
      <c r="E1114" s="112">
        <f>1</f>
        <v>1</v>
      </c>
      <c r="F1114" s="53" t="e">
        <f>'NC,M KS'!$P$6</f>
        <v>#REF!</v>
      </c>
      <c r="G1114" s="117">
        <f>hsnc</f>
        <v>1</v>
      </c>
      <c r="H1114" s="54" t="e">
        <f>ROUND(E1114*F1114*G1114,5)</f>
        <v>#REF!</v>
      </c>
      <c r="I1114" s="114"/>
      <c r="J1114" s="110">
        <f>J1112</f>
        <v>0</v>
      </c>
    </row>
    <row r="1115" spans="1:10" s="55" customFormat="1" ht="17.100000000000001" hidden="1" customHeight="1">
      <c r="A1115" s="295" t="e">
        <f t="shared" si="46"/>
        <v>#REF!</v>
      </c>
      <c r="B1115" s="51"/>
      <c r="C1115" s="170" t="s">
        <v>556</v>
      </c>
      <c r="D1115" s="171" t="s">
        <v>136</v>
      </c>
      <c r="E1115" s="172" t="s">
        <v>205</v>
      </c>
      <c r="F1115" s="53"/>
      <c r="G1115" s="117"/>
      <c r="H1115" s="173" t="e">
        <f>ROUND(0+H1113+0,5)</f>
        <v>#REF!</v>
      </c>
      <c r="I1115" s="114"/>
      <c r="J1115" s="110">
        <f>J1112</f>
        <v>0</v>
      </c>
    </row>
    <row r="1116" spans="1:10" s="55" customFormat="1" ht="17.100000000000001" hidden="1" customHeight="1">
      <c r="A1116" s="295" t="e">
        <f t="shared" si="46"/>
        <v>#REF!</v>
      </c>
      <c r="B1116" s="51"/>
      <c r="C1116" s="170" t="s">
        <v>557</v>
      </c>
      <c r="D1116" s="171" t="s">
        <v>204</v>
      </c>
      <c r="E1116" s="172" t="s">
        <v>558</v>
      </c>
      <c r="F1116" s="53"/>
      <c r="G1116" s="117"/>
      <c r="H1116" s="173" t="e">
        <f>SUM(H1117:H1118)</f>
        <v>#REF!</v>
      </c>
      <c r="I1116" s="114"/>
      <c r="J1116" s="110">
        <f>J1112</f>
        <v>0</v>
      </c>
    </row>
    <row r="1117" spans="1:10" s="55" customFormat="1" ht="17.100000000000001" hidden="1" customHeight="1">
      <c r="A1117" s="295" t="e">
        <f t="shared" si="46"/>
        <v>#REF!</v>
      </c>
      <c r="B1117" s="51"/>
      <c r="C1117" s="51" t="s">
        <v>426</v>
      </c>
      <c r="D1117" s="52" t="s">
        <v>559</v>
      </c>
      <c r="E1117" s="116">
        <f>cpc</f>
        <v>0.7</v>
      </c>
      <c r="F1117" s="174"/>
      <c r="G1117" s="175"/>
      <c r="H1117" s="54" t="e">
        <f>E1117*H1113</f>
        <v>#REF!</v>
      </c>
      <c r="I1117" s="114"/>
      <c r="J1117" s="110">
        <f>J1112</f>
        <v>0</v>
      </c>
    </row>
    <row r="1118" spans="1:10" s="55" customFormat="1" ht="30" hidden="1">
      <c r="A1118" s="295" t="e">
        <f t="shared" si="46"/>
        <v>#REF!</v>
      </c>
      <c r="B1118" s="51"/>
      <c r="C1118" s="78" t="s">
        <v>560</v>
      </c>
      <c r="D1118" s="79" t="s">
        <v>561</v>
      </c>
      <c r="E1118" s="176">
        <f>hmc</f>
        <v>0.05</v>
      </c>
      <c r="F1118" s="53"/>
      <c r="G1118" s="113"/>
      <c r="H1118" s="54" t="e">
        <f>E1118*H1115</f>
        <v>#REF!</v>
      </c>
      <c r="I1118" s="114"/>
      <c r="J1118" s="110">
        <f>J1112</f>
        <v>0</v>
      </c>
    </row>
    <row r="1119" spans="1:10" s="55" customFormat="1" ht="17.100000000000001" hidden="1" customHeight="1">
      <c r="A1119" s="295" t="e">
        <f t="shared" si="46"/>
        <v>#REF!</v>
      </c>
      <c r="B1119" s="51"/>
      <c r="C1119" s="170" t="s">
        <v>562</v>
      </c>
      <c r="D1119" s="171" t="s">
        <v>563</v>
      </c>
      <c r="E1119" s="179">
        <f>tn</f>
        <v>0.06</v>
      </c>
      <c r="F1119" s="177"/>
      <c r="G1119" s="178"/>
      <c r="H1119" s="181" t="e">
        <f>SUM(H1115:H1116)*E1119</f>
        <v>#REF!</v>
      </c>
      <c r="I1119" s="114"/>
      <c r="J1119" s="110">
        <f>J1112</f>
        <v>0</v>
      </c>
    </row>
    <row r="1120" spans="1:10" s="55" customFormat="1" ht="17.100000000000001" hidden="1" customHeight="1">
      <c r="A1120" s="295" t="e">
        <f t="shared" si="46"/>
        <v>#REF!</v>
      </c>
      <c r="B1120" s="51"/>
      <c r="C1120" s="92" t="s">
        <v>1879</v>
      </c>
      <c r="D1120" s="171" t="s">
        <v>227</v>
      </c>
      <c r="E1120" s="180" t="s">
        <v>564</v>
      </c>
      <c r="F1120" s="174"/>
      <c r="G1120" s="175"/>
      <c r="H1120" s="173" t="e">
        <f>SUM(H1121:H1122)</f>
        <v>#REF!</v>
      </c>
      <c r="I1120" s="114"/>
      <c r="J1120" s="110">
        <f>J1112</f>
        <v>0</v>
      </c>
    </row>
    <row r="1121" spans="1:10" s="55" customFormat="1" ht="17.100000000000001" hidden="1" customHeight="1">
      <c r="A1121" s="295" t="e">
        <f t="shared" si="46"/>
        <v>#REF!</v>
      </c>
      <c r="B1121" s="51"/>
      <c r="C1121" s="51" t="s">
        <v>427</v>
      </c>
      <c r="D1121" s="52" t="s">
        <v>428</v>
      </c>
      <c r="E1121" s="1093">
        <f>paks</f>
        <v>0</v>
      </c>
      <c r="F1121" s="174"/>
      <c r="G1121" s="175"/>
      <c r="H1121" s="54" t="e">
        <f>(H1115+H1116+H1119)*E1121</f>
        <v>#REF!</v>
      </c>
      <c r="I1121" s="114"/>
      <c r="J1121" s="110">
        <f>J1112</f>
        <v>0</v>
      </c>
    </row>
    <row r="1122" spans="1:10" s="55" customFormat="1" ht="17.100000000000001" hidden="1" customHeight="1">
      <c r="A1122" s="295" t="e">
        <f t="shared" si="46"/>
        <v>#REF!</v>
      </c>
      <c r="B1122" s="51"/>
      <c r="C1122" s="51" t="s">
        <v>429</v>
      </c>
      <c r="D1122" s="52" t="s">
        <v>430</v>
      </c>
      <c r="E1122" s="1093">
        <f>bcks</f>
        <v>0.03</v>
      </c>
      <c r="F1122" s="53"/>
      <c r="G1122" s="113"/>
      <c r="H1122" s="54" t="e">
        <f>(H1115+H1116+H1119)*E1122</f>
        <v>#REF!</v>
      </c>
      <c r="I1122" s="114"/>
      <c r="J1122" s="110">
        <f>J1112</f>
        <v>0</v>
      </c>
    </row>
    <row r="1123" spans="1:10" s="55" customFormat="1" ht="17.100000000000001" hidden="1" customHeight="1">
      <c r="A1123" s="295" t="e">
        <f t="shared" si="46"/>
        <v>#REF!</v>
      </c>
      <c r="B1123" s="51"/>
      <c r="C1123" s="170" t="s">
        <v>565</v>
      </c>
      <c r="D1123" s="171" t="s">
        <v>218</v>
      </c>
      <c r="E1123" s="172" t="s">
        <v>566</v>
      </c>
      <c r="F1123" s="53"/>
      <c r="G1123" s="113"/>
      <c r="H1123" s="173" t="e">
        <f>H1115+H1116+H1119+H1120</f>
        <v>#REF!</v>
      </c>
      <c r="I1123" s="114"/>
      <c r="J1123" s="110">
        <f>J1112</f>
        <v>0</v>
      </c>
    </row>
    <row r="1124" spans="1:10" s="55" customFormat="1" ht="17.100000000000001" hidden="1" customHeight="1">
      <c r="A1124" s="295" t="e">
        <f t="shared" si="46"/>
        <v>#REF!</v>
      </c>
      <c r="B1124" s="51"/>
      <c r="C1124" s="51" t="s">
        <v>567</v>
      </c>
      <c r="D1124" s="52" t="s">
        <v>222</v>
      </c>
      <c r="E1124" s="112" t="s">
        <v>1917</v>
      </c>
      <c r="F1124" s="174"/>
      <c r="G1124" s="175"/>
      <c r="H1124" s="54" t="e">
        <f>ROUND(H1123*10/100,5)</f>
        <v>#REF!</v>
      </c>
      <c r="I1124" s="114"/>
      <c r="J1124" s="110">
        <f>J1112</f>
        <v>0</v>
      </c>
    </row>
    <row r="1125" spans="1:10" s="55" customFormat="1" ht="17.100000000000001" hidden="1" customHeight="1">
      <c r="A1125" s="295" t="e">
        <f t="shared" si="46"/>
        <v>#REF!</v>
      </c>
      <c r="B1125" s="51"/>
      <c r="C1125" s="170" t="s">
        <v>568</v>
      </c>
      <c r="D1125" s="171" t="s">
        <v>225</v>
      </c>
      <c r="E1125" s="172" t="s">
        <v>192</v>
      </c>
      <c r="F1125" s="53"/>
      <c r="G1125" s="117"/>
      <c r="H1125" s="56" t="e">
        <f>ROUND(H1123+H1124,5)</f>
        <v>#REF!</v>
      </c>
      <c r="I1125" s="115"/>
      <c r="J1125" s="110">
        <f>J1112</f>
        <v>0</v>
      </c>
    </row>
    <row r="1126" spans="1:10" s="263" customFormat="1" ht="17.100000000000001" hidden="1" customHeight="1">
      <c r="A1126" s="264" t="e">
        <f t="shared" si="43"/>
        <v>#REF!</v>
      </c>
      <c r="B1126" s="265" t="s">
        <v>389</v>
      </c>
      <c r="C1126" s="265" t="s">
        <v>1669</v>
      </c>
      <c r="D1126" s="266" t="s">
        <v>310</v>
      </c>
      <c r="E1126" s="270"/>
      <c r="F1126" s="267"/>
      <c r="G1126" s="271"/>
      <c r="H1126" s="268" t="e">
        <f>H1153</f>
        <v>#REF!</v>
      </c>
      <c r="I1126" s="272"/>
      <c r="J1126" s="273">
        <f>IF(SUMIF(Khaosat!$B$6:$B$47,'PT giaKS'!B1126,Khaosat!$I$6:$I$47)&lt;&gt;0,$J$6,0)</f>
        <v>0</v>
      </c>
    </row>
    <row r="1127" spans="1:10" s="55" customFormat="1" ht="17.100000000000001" hidden="1" customHeight="1">
      <c r="A1127" s="50" t="e">
        <f t="shared" si="43"/>
        <v>#REF!</v>
      </c>
      <c r="B1127" s="51"/>
      <c r="C1127" s="51" t="s">
        <v>128</v>
      </c>
      <c r="D1127" s="52" t="s">
        <v>0</v>
      </c>
      <c r="E1127" s="112"/>
      <c r="F1127" s="53"/>
      <c r="G1127" s="117"/>
      <c r="H1127" s="56">
        <f>ROUND(SUM(H1128:H1137),5)</f>
        <v>98472.996050000002</v>
      </c>
      <c r="I1127" s="115"/>
      <c r="J1127" s="110">
        <f>J1126</f>
        <v>0</v>
      </c>
    </row>
    <row r="1128" spans="1:10" s="55" customFormat="1" ht="17.100000000000001" hidden="1" customHeight="1">
      <c r="A1128" s="50" t="e">
        <f t="shared" si="43"/>
        <v>#REF!</v>
      </c>
      <c r="B1128" s="51"/>
      <c r="C1128" s="51" t="s">
        <v>461</v>
      </c>
      <c r="D1128" s="52" t="s">
        <v>82</v>
      </c>
      <c r="E1128" s="112">
        <f>0.07</f>
        <v>7.0000000000000007E-2</v>
      </c>
      <c r="F1128" s="53">
        <f>VLKS!Q43</f>
        <v>100000</v>
      </c>
      <c r="G1128" s="117">
        <f t="shared" ref="G1128:G1136" si="47">hsvl</f>
        <v>1</v>
      </c>
      <c r="H1128" s="54">
        <f t="shared" ref="H1128:H1136" si="48">ROUND(E1128*F1128*G1128,5)</f>
        <v>7000</v>
      </c>
      <c r="I1128" s="114"/>
      <c r="J1128" s="110">
        <f>J1126</f>
        <v>0</v>
      </c>
    </row>
    <row r="1129" spans="1:10" s="55" customFormat="1" ht="17.100000000000001" hidden="1" customHeight="1">
      <c r="A1129" s="50" t="e">
        <f t="shared" si="43"/>
        <v>#REF!</v>
      </c>
      <c r="B1129" s="51"/>
      <c r="C1129" s="51" t="s">
        <v>449</v>
      </c>
      <c r="D1129" s="52" t="s">
        <v>129</v>
      </c>
      <c r="E1129" s="112">
        <f>0.018</f>
        <v>1.7999999999999999E-2</v>
      </c>
      <c r="F1129" s="53">
        <f>VLKS!Q24</f>
        <v>81818</v>
      </c>
      <c r="G1129" s="117">
        <f t="shared" si="47"/>
        <v>1</v>
      </c>
      <c r="H1129" s="54">
        <f t="shared" si="48"/>
        <v>1472.7239999999999</v>
      </c>
      <c r="I1129" s="114"/>
      <c r="J1129" s="110">
        <f>J1126</f>
        <v>0</v>
      </c>
    </row>
    <row r="1130" spans="1:10" s="55" customFormat="1" ht="17.100000000000001" hidden="1" customHeight="1">
      <c r="A1130" s="50" t="e">
        <f t="shared" si="43"/>
        <v>#REF!</v>
      </c>
      <c r="B1130" s="51"/>
      <c r="C1130" s="51" t="s">
        <v>462</v>
      </c>
      <c r="D1130" s="52" t="s">
        <v>451</v>
      </c>
      <c r="E1130" s="112">
        <f>0.006</f>
        <v>6.0000000000000001E-3</v>
      </c>
      <c r="F1130" s="53">
        <f>VLKS!Q62</f>
        <v>185000</v>
      </c>
      <c r="G1130" s="117">
        <f t="shared" si="47"/>
        <v>1</v>
      </c>
      <c r="H1130" s="54">
        <f t="shared" si="48"/>
        <v>1110</v>
      </c>
      <c r="I1130" s="114"/>
      <c r="J1130" s="110">
        <f>J1126</f>
        <v>0</v>
      </c>
    </row>
    <row r="1131" spans="1:10" s="55" customFormat="1" ht="17.100000000000001" hidden="1" customHeight="1">
      <c r="A1131" s="50" t="e">
        <f t="shared" si="43"/>
        <v>#REF!</v>
      </c>
      <c r="B1131" s="51"/>
      <c r="C1131" s="51" t="s">
        <v>452</v>
      </c>
      <c r="D1131" s="52" t="s">
        <v>129</v>
      </c>
      <c r="E1131" s="112">
        <f>0.06</f>
        <v>0.06</v>
      </c>
      <c r="F1131" s="53">
        <f>VLKS!Q65</f>
        <v>130000</v>
      </c>
      <c r="G1131" s="117">
        <f t="shared" si="47"/>
        <v>1</v>
      </c>
      <c r="H1131" s="54">
        <f t="shared" si="48"/>
        <v>7800</v>
      </c>
      <c r="I1131" s="114"/>
      <c r="J1131" s="110">
        <f>J1126</f>
        <v>0</v>
      </c>
    </row>
    <row r="1132" spans="1:10" s="55" customFormat="1" ht="17.100000000000001" hidden="1" customHeight="1">
      <c r="A1132" s="50" t="e">
        <f t="shared" si="43"/>
        <v>#REF!</v>
      </c>
      <c r="B1132" s="51"/>
      <c r="C1132" s="51" t="s">
        <v>453</v>
      </c>
      <c r="D1132" s="52" t="s">
        <v>82</v>
      </c>
      <c r="E1132" s="112">
        <f>0.02</f>
        <v>0.02</v>
      </c>
      <c r="F1132" s="53">
        <f>VLKS!Q63</f>
        <v>100000</v>
      </c>
      <c r="G1132" s="117">
        <f t="shared" si="47"/>
        <v>1</v>
      </c>
      <c r="H1132" s="54">
        <f t="shared" si="48"/>
        <v>2000</v>
      </c>
      <c r="I1132" s="114"/>
      <c r="J1132" s="110">
        <f>J1126</f>
        <v>0</v>
      </c>
    </row>
    <row r="1133" spans="1:10" s="55" customFormat="1" ht="17.100000000000001" hidden="1" customHeight="1">
      <c r="A1133" s="50" t="e">
        <f t="shared" si="43"/>
        <v>#REF!</v>
      </c>
      <c r="B1133" s="51"/>
      <c r="C1133" s="51" t="s">
        <v>463</v>
      </c>
      <c r="D1133" s="52" t="s">
        <v>129</v>
      </c>
      <c r="E1133" s="112">
        <f>0.04</f>
        <v>0.04</v>
      </c>
      <c r="F1133" s="53">
        <f>VLKS!Q69</f>
        <v>350000</v>
      </c>
      <c r="G1133" s="117">
        <f t="shared" si="47"/>
        <v>1</v>
      </c>
      <c r="H1133" s="54">
        <f t="shared" si="48"/>
        <v>14000</v>
      </c>
      <c r="I1133" s="114"/>
      <c r="J1133" s="110">
        <f>J1126</f>
        <v>0</v>
      </c>
    </row>
    <row r="1134" spans="1:10" s="55" customFormat="1" ht="17.100000000000001" hidden="1" customHeight="1">
      <c r="A1134" s="50" t="e">
        <f t="shared" si="43"/>
        <v>#REF!</v>
      </c>
      <c r="B1134" s="51"/>
      <c r="C1134" s="51" t="s">
        <v>464</v>
      </c>
      <c r="D1134" s="52" t="s">
        <v>82</v>
      </c>
      <c r="E1134" s="112">
        <f>0.002</f>
        <v>2E-3</v>
      </c>
      <c r="F1134" s="53">
        <f>VLKS!Q68</f>
        <v>910000</v>
      </c>
      <c r="G1134" s="117">
        <f t="shared" si="47"/>
        <v>1</v>
      </c>
      <c r="H1134" s="54">
        <f t="shared" si="48"/>
        <v>1820</v>
      </c>
      <c r="I1134" s="114"/>
      <c r="J1134" s="110">
        <f>J1126</f>
        <v>0</v>
      </c>
    </row>
    <row r="1135" spans="1:10" s="55" customFormat="1" ht="17.100000000000001" hidden="1" customHeight="1">
      <c r="A1135" s="50" t="e">
        <f t="shared" si="43"/>
        <v>#REF!</v>
      </c>
      <c r="B1135" s="51"/>
      <c r="C1135" s="51" t="s">
        <v>456</v>
      </c>
      <c r="D1135" s="52" t="s">
        <v>82</v>
      </c>
      <c r="E1135" s="112">
        <f>0.4</f>
        <v>0.4</v>
      </c>
      <c r="F1135" s="53">
        <f>VLKS!Q37</f>
        <v>100000</v>
      </c>
      <c r="G1135" s="117">
        <f t="shared" si="47"/>
        <v>1</v>
      </c>
      <c r="H1135" s="54">
        <f t="shared" si="48"/>
        <v>40000</v>
      </c>
      <c r="I1135" s="114"/>
      <c r="J1135" s="110">
        <f>J1126</f>
        <v>0</v>
      </c>
    </row>
    <row r="1136" spans="1:10" s="55" customFormat="1" ht="17.100000000000001" hidden="1" customHeight="1">
      <c r="A1136" s="50" t="e">
        <f t="shared" ref="A1136:A1199" si="49">IF(B1136&lt;&gt;0,A1135+J1136,A1135)</f>
        <v>#REF!</v>
      </c>
      <c r="B1136" s="51"/>
      <c r="C1136" s="51" t="s">
        <v>459</v>
      </c>
      <c r="D1136" s="52" t="s">
        <v>7</v>
      </c>
      <c r="E1136" s="112">
        <f>0.0035</f>
        <v>3.5000000000000001E-3</v>
      </c>
      <c r="F1136" s="53">
        <f>VLKS!Q34</f>
        <v>4090909</v>
      </c>
      <c r="G1136" s="117">
        <f t="shared" si="47"/>
        <v>1</v>
      </c>
      <c r="H1136" s="54">
        <f t="shared" si="48"/>
        <v>14318.181500000001</v>
      </c>
      <c r="I1136" s="114"/>
      <c r="J1136" s="110">
        <f>J1126</f>
        <v>0</v>
      </c>
    </row>
    <row r="1137" spans="1:10" s="55" customFormat="1" ht="17.100000000000001" hidden="1" customHeight="1">
      <c r="A1137" s="50" t="e">
        <f t="shared" si="49"/>
        <v>#REF!</v>
      </c>
      <c r="B1137" s="51"/>
      <c r="C1137" s="51" t="s">
        <v>127</v>
      </c>
      <c r="D1137" s="52" t="s">
        <v>126</v>
      </c>
      <c r="E1137" s="112">
        <f>10</f>
        <v>10</v>
      </c>
      <c r="F1137" s="53"/>
      <c r="G1137" s="117"/>
      <c r="H1137" s="54">
        <f>ROUND(SUM(H1128:H1136)*E1137/100,5)</f>
        <v>8952.0905500000008</v>
      </c>
      <c r="I1137" s="114"/>
      <c r="J1137" s="110">
        <f>J1126</f>
        <v>0</v>
      </c>
    </row>
    <row r="1138" spans="1:10" s="55" customFormat="1" ht="17.100000000000001" hidden="1" customHeight="1">
      <c r="A1138" s="50" t="e">
        <f t="shared" si="49"/>
        <v>#REF!</v>
      </c>
      <c r="B1138" s="51"/>
      <c r="C1138" s="51" t="s">
        <v>125</v>
      </c>
      <c r="D1138" s="52" t="s">
        <v>0</v>
      </c>
      <c r="E1138" s="112"/>
      <c r="F1138" s="53"/>
      <c r="G1138" s="117"/>
      <c r="H1138" s="56" t="e">
        <f>ROUND(SUM(H1139:H1139),5)</f>
        <v>#REF!</v>
      </c>
      <c r="I1138" s="115"/>
      <c r="J1138" s="110">
        <f>J1126</f>
        <v>0</v>
      </c>
    </row>
    <row r="1139" spans="1:10" s="55" customFormat="1" ht="17.100000000000001" hidden="1" customHeight="1">
      <c r="A1139" s="50" t="e">
        <f t="shared" si="49"/>
        <v>#REF!</v>
      </c>
      <c r="B1139" s="51"/>
      <c r="C1139" s="51" t="s">
        <v>424</v>
      </c>
      <c r="D1139" s="52" t="s">
        <v>3</v>
      </c>
      <c r="E1139" s="112">
        <f>2.61</f>
        <v>2.61</v>
      </c>
      <c r="F1139" s="53" t="e">
        <f>'NC,M KS'!P6</f>
        <v>#REF!</v>
      </c>
      <c r="G1139" s="117">
        <f>hsnc</f>
        <v>1</v>
      </c>
      <c r="H1139" s="54" t="e">
        <f>ROUND(E1139*F1139*G1139,5)</f>
        <v>#REF!</v>
      </c>
      <c r="I1139" s="114"/>
      <c r="J1139" s="110">
        <f>J1126</f>
        <v>0</v>
      </c>
    </row>
    <row r="1140" spans="1:10" s="55" customFormat="1" ht="17.100000000000001" hidden="1" customHeight="1">
      <c r="A1140" s="50" t="e">
        <f t="shared" si="49"/>
        <v>#REF!</v>
      </c>
      <c r="B1140" s="51"/>
      <c r="C1140" s="51" t="s">
        <v>124</v>
      </c>
      <c r="D1140" s="52" t="s">
        <v>0</v>
      </c>
      <c r="E1140" s="112"/>
      <c r="F1140" s="53"/>
      <c r="G1140" s="117"/>
      <c r="H1140" s="56">
        <f>ROUND(SUM(H1141:H1142),5)</f>
        <v>8182.6666599999999</v>
      </c>
      <c r="I1140" s="115"/>
      <c r="J1140" s="110">
        <f>J1126</f>
        <v>0</v>
      </c>
    </row>
    <row r="1141" spans="1:10" s="55" customFormat="1" ht="17.100000000000001" hidden="1" customHeight="1">
      <c r="A1141" s="50" t="e">
        <f t="shared" si="49"/>
        <v>#REF!</v>
      </c>
      <c r="B1141" s="51"/>
      <c r="C1141" s="51" t="s">
        <v>465</v>
      </c>
      <c r="D1141" s="52" t="s">
        <v>4</v>
      </c>
      <c r="E1141" s="112">
        <f>0.1</f>
        <v>0.1</v>
      </c>
      <c r="F1141" s="53">
        <f>'NC,M KS'!P23</f>
        <v>80222.222222222219</v>
      </c>
      <c r="G1141" s="117">
        <f>hsm</f>
        <v>1</v>
      </c>
      <c r="H1141" s="54">
        <f>ROUND(E1141*F1141*G1141,5)</f>
        <v>8022.2222199999997</v>
      </c>
      <c r="I1141" s="114"/>
      <c r="J1141" s="110">
        <f>J1126</f>
        <v>0</v>
      </c>
    </row>
    <row r="1142" spans="1:10" s="55" customFormat="1" ht="17.100000000000001" hidden="1" customHeight="1">
      <c r="A1142" s="50" t="e">
        <f t="shared" si="49"/>
        <v>#REF!</v>
      </c>
      <c r="B1142" s="51"/>
      <c r="C1142" s="51" t="s">
        <v>130</v>
      </c>
      <c r="D1142" s="52" t="s">
        <v>126</v>
      </c>
      <c r="E1142" s="112">
        <f>2</f>
        <v>2</v>
      </c>
      <c r="F1142" s="53"/>
      <c r="G1142" s="117"/>
      <c r="H1142" s="54">
        <f>ROUND(SUM(H1141:H1141)*E1142/100,5)</f>
        <v>160.44443999999999</v>
      </c>
      <c r="I1142" s="114"/>
      <c r="J1142" s="110">
        <f>J1126</f>
        <v>0</v>
      </c>
    </row>
    <row r="1143" spans="1:10" s="55" customFormat="1" ht="17.100000000000001" hidden="1" customHeight="1">
      <c r="A1143" s="50" t="e">
        <f t="shared" si="49"/>
        <v>#REF!</v>
      </c>
      <c r="B1143" s="51"/>
      <c r="C1143" s="170" t="s">
        <v>556</v>
      </c>
      <c r="D1143" s="171" t="s">
        <v>136</v>
      </c>
      <c r="E1143" s="172" t="s">
        <v>205</v>
      </c>
      <c r="F1143" s="53"/>
      <c r="G1143" s="117"/>
      <c r="H1143" s="173" t="e">
        <f>ROUND(H1127+H1138+H1140,5)</f>
        <v>#REF!</v>
      </c>
      <c r="I1143" s="114"/>
      <c r="J1143" s="110">
        <f>J1126</f>
        <v>0</v>
      </c>
    </row>
    <row r="1144" spans="1:10" s="55" customFormat="1" ht="17.100000000000001" hidden="1" customHeight="1">
      <c r="A1144" s="50" t="e">
        <f t="shared" si="49"/>
        <v>#REF!</v>
      </c>
      <c r="B1144" s="51"/>
      <c r="C1144" s="170" t="s">
        <v>557</v>
      </c>
      <c r="D1144" s="171" t="s">
        <v>204</v>
      </c>
      <c r="E1144" s="172" t="s">
        <v>558</v>
      </c>
      <c r="F1144" s="53"/>
      <c r="G1144" s="117"/>
      <c r="H1144" s="173" t="e">
        <f>SUM(H1145:H1146)</f>
        <v>#REF!</v>
      </c>
      <c r="I1144" s="114"/>
      <c r="J1144" s="110">
        <f>J1126</f>
        <v>0</v>
      </c>
    </row>
    <row r="1145" spans="1:10" s="55" customFormat="1" ht="17.100000000000001" hidden="1" customHeight="1">
      <c r="A1145" s="50" t="e">
        <f t="shared" si="49"/>
        <v>#REF!</v>
      </c>
      <c r="B1145" s="51"/>
      <c r="C1145" s="51" t="s">
        <v>426</v>
      </c>
      <c r="D1145" s="52" t="s">
        <v>559</v>
      </c>
      <c r="E1145" s="116">
        <f>cpc</f>
        <v>0.7</v>
      </c>
      <c r="F1145" s="174"/>
      <c r="G1145" s="175"/>
      <c r="H1145" s="54" t="e">
        <f>E1145*H1138</f>
        <v>#REF!</v>
      </c>
      <c r="I1145" s="114"/>
      <c r="J1145" s="110">
        <f>J1126</f>
        <v>0</v>
      </c>
    </row>
    <row r="1146" spans="1:10" s="55" customFormat="1" ht="17.100000000000001" hidden="1" customHeight="1">
      <c r="A1146" s="50" t="e">
        <f t="shared" si="49"/>
        <v>#REF!</v>
      </c>
      <c r="B1146" s="51"/>
      <c r="C1146" s="78" t="s">
        <v>560</v>
      </c>
      <c r="D1146" s="79" t="s">
        <v>561</v>
      </c>
      <c r="E1146" s="176">
        <f>hmc</f>
        <v>0.05</v>
      </c>
      <c r="F1146" s="53"/>
      <c r="G1146" s="113"/>
      <c r="H1146" s="54" t="e">
        <f>E1146*H1143</f>
        <v>#REF!</v>
      </c>
      <c r="I1146" s="114"/>
      <c r="J1146" s="715">
        <f>J1126</f>
        <v>0</v>
      </c>
    </row>
    <row r="1147" spans="1:10" s="55" customFormat="1" ht="17.100000000000001" hidden="1" customHeight="1">
      <c r="A1147" s="50" t="e">
        <f t="shared" si="49"/>
        <v>#REF!</v>
      </c>
      <c r="B1147" s="51"/>
      <c r="C1147" s="170" t="s">
        <v>562</v>
      </c>
      <c r="D1147" s="171" t="s">
        <v>563</v>
      </c>
      <c r="E1147" s="179">
        <f>tn</f>
        <v>0.06</v>
      </c>
      <c r="F1147" s="177"/>
      <c r="G1147" s="178"/>
      <c r="H1147" s="181" t="e">
        <f>SUM(H1143:H1144)*E1147</f>
        <v>#REF!</v>
      </c>
      <c r="I1147" s="114"/>
      <c r="J1147" s="715">
        <f>J1126</f>
        <v>0</v>
      </c>
    </row>
    <row r="1148" spans="1:10" s="55" customFormat="1" ht="17.100000000000001" hidden="1" customHeight="1">
      <c r="A1148" s="50" t="e">
        <f t="shared" si="49"/>
        <v>#REF!</v>
      </c>
      <c r="B1148" s="51"/>
      <c r="C1148" s="92" t="s">
        <v>1879</v>
      </c>
      <c r="D1148" s="171" t="s">
        <v>227</v>
      </c>
      <c r="E1148" s="180" t="s">
        <v>564</v>
      </c>
      <c r="F1148" s="174"/>
      <c r="G1148" s="175"/>
      <c r="H1148" s="173" t="e">
        <f>SUM(H1149:H1150)</f>
        <v>#REF!</v>
      </c>
      <c r="I1148" s="114"/>
      <c r="J1148" s="715">
        <f>J1126</f>
        <v>0</v>
      </c>
    </row>
    <row r="1149" spans="1:10" s="55" customFormat="1" ht="17.100000000000001" hidden="1" customHeight="1">
      <c r="A1149" s="50" t="e">
        <f t="shared" si="49"/>
        <v>#REF!</v>
      </c>
      <c r="B1149" s="51"/>
      <c r="C1149" s="51" t="s">
        <v>427</v>
      </c>
      <c r="D1149" s="52" t="s">
        <v>428</v>
      </c>
      <c r="E1149" s="1093">
        <f>paks</f>
        <v>0</v>
      </c>
      <c r="F1149" s="174"/>
      <c r="G1149" s="175"/>
      <c r="H1149" s="54" t="e">
        <f>(H1143+H1144+H1147)*E1149</f>
        <v>#REF!</v>
      </c>
      <c r="I1149" s="114"/>
      <c r="J1149" s="715">
        <f>J1126</f>
        <v>0</v>
      </c>
    </row>
    <row r="1150" spans="1:10" s="55" customFormat="1" ht="17.100000000000001" hidden="1" customHeight="1">
      <c r="A1150" s="50" t="e">
        <f t="shared" si="49"/>
        <v>#REF!</v>
      </c>
      <c r="B1150" s="51"/>
      <c r="C1150" s="51" t="s">
        <v>429</v>
      </c>
      <c r="D1150" s="52" t="s">
        <v>430</v>
      </c>
      <c r="E1150" s="1093">
        <f>bcks</f>
        <v>0.03</v>
      </c>
      <c r="F1150" s="53"/>
      <c r="G1150" s="113"/>
      <c r="H1150" s="54" t="e">
        <f>(H1143+H1144+H1147)*E1150</f>
        <v>#REF!</v>
      </c>
      <c r="I1150" s="114"/>
      <c r="J1150" s="715">
        <f>J1126</f>
        <v>0</v>
      </c>
    </row>
    <row r="1151" spans="1:10" s="55" customFormat="1" ht="17.100000000000001" hidden="1" customHeight="1">
      <c r="A1151" s="50" t="e">
        <f t="shared" si="49"/>
        <v>#REF!</v>
      </c>
      <c r="B1151" s="51"/>
      <c r="C1151" s="170" t="s">
        <v>565</v>
      </c>
      <c r="D1151" s="171" t="s">
        <v>218</v>
      </c>
      <c r="E1151" s="172" t="s">
        <v>566</v>
      </c>
      <c r="F1151" s="53"/>
      <c r="G1151" s="113"/>
      <c r="H1151" s="173" t="e">
        <f>H1143+H1144+H1147+H1148</f>
        <v>#REF!</v>
      </c>
      <c r="I1151" s="114"/>
      <c r="J1151" s="715">
        <f>J1126</f>
        <v>0</v>
      </c>
    </row>
    <row r="1152" spans="1:10" s="55" customFormat="1" ht="17.100000000000001" hidden="1" customHeight="1">
      <c r="A1152" s="50" t="e">
        <f t="shared" si="49"/>
        <v>#REF!</v>
      </c>
      <c r="B1152" s="51"/>
      <c r="C1152" s="51" t="s">
        <v>567</v>
      </c>
      <c r="D1152" s="52" t="s">
        <v>222</v>
      </c>
      <c r="E1152" s="112" t="s">
        <v>1917</v>
      </c>
      <c r="F1152" s="174"/>
      <c r="G1152" s="175"/>
      <c r="H1152" s="54" t="e">
        <f>ROUND(H1151*10/100,5)</f>
        <v>#REF!</v>
      </c>
      <c r="I1152" s="114"/>
      <c r="J1152" s="715">
        <f>J1126</f>
        <v>0</v>
      </c>
    </row>
    <row r="1153" spans="1:10" s="55" customFormat="1" ht="17.100000000000001" hidden="1" customHeight="1">
      <c r="A1153" s="50" t="e">
        <f t="shared" si="49"/>
        <v>#REF!</v>
      </c>
      <c r="B1153" s="51"/>
      <c r="C1153" s="170" t="s">
        <v>568</v>
      </c>
      <c r="D1153" s="171" t="s">
        <v>225</v>
      </c>
      <c r="E1153" s="172" t="s">
        <v>192</v>
      </c>
      <c r="F1153" s="53"/>
      <c r="G1153" s="117"/>
      <c r="H1153" s="56" t="e">
        <f>ROUND(H1151+H1152,5)</f>
        <v>#REF!</v>
      </c>
      <c r="I1153" s="115"/>
      <c r="J1153" s="715">
        <f>J1126</f>
        <v>0</v>
      </c>
    </row>
    <row r="1154" spans="1:10" s="263" customFormat="1" ht="17.100000000000001" hidden="1" customHeight="1">
      <c r="A1154" s="264" t="e">
        <f t="shared" si="49"/>
        <v>#REF!</v>
      </c>
      <c r="B1154" s="265" t="s">
        <v>390</v>
      </c>
      <c r="C1154" s="265" t="s">
        <v>1670</v>
      </c>
      <c r="D1154" s="266" t="s">
        <v>310</v>
      </c>
      <c r="E1154" s="270"/>
      <c r="F1154" s="267"/>
      <c r="G1154" s="271"/>
      <c r="H1154" s="268" t="e">
        <f>H1181</f>
        <v>#REF!</v>
      </c>
      <c r="I1154" s="272"/>
      <c r="J1154" s="273">
        <f>IF(SUMIF(Khaosat!$B$6:$B$47,'PT giaKS'!B1154,Khaosat!$I$6:$I$47)&lt;&gt;0,$J$6,0)</f>
        <v>0</v>
      </c>
    </row>
    <row r="1155" spans="1:10" s="55" customFormat="1" ht="17.100000000000001" hidden="1" customHeight="1">
      <c r="A1155" s="50" t="e">
        <f t="shared" si="49"/>
        <v>#REF!</v>
      </c>
      <c r="B1155" s="51"/>
      <c r="C1155" s="51" t="s">
        <v>128</v>
      </c>
      <c r="D1155" s="52" t="s">
        <v>0</v>
      </c>
      <c r="E1155" s="112"/>
      <c r="F1155" s="53"/>
      <c r="G1155" s="117"/>
      <c r="H1155" s="56">
        <f>ROUND(SUM(H1156:H1165),5)</f>
        <v>111653.99245000001</v>
      </c>
      <c r="I1155" s="115"/>
      <c r="J1155" s="110">
        <f>J1154</f>
        <v>0</v>
      </c>
    </row>
    <row r="1156" spans="1:10" s="55" customFormat="1" ht="17.100000000000001" hidden="1" customHeight="1">
      <c r="A1156" s="50" t="e">
        <f t="shared" si="49"/>
        <v>#REF!</v>
      </c>
      <c r="B1156" s="51"/>
      <c r="C1156" s="51" t="s">
        <v>461</v>
      </c>
      <c r="D1156" s="52" t="s">
        <v>82</v>
      </c>
      <c r="E1156" s="112">
        <f>0.164</f>
        <v>0.16400000000000001</v>
      </c>
      <c r="F1156" s="53">
        <f>VLKS!Q43</f>
        <v>100000</v>
      </c>
      <c r="G1156" s="117">
        <f t="shared" ref="G1156:G1164" si="50">hsvl</f>
        <v>1</v>
      </c>
      <c r="H1156" s="54">
        <f t="shared" ref="H1156:H1164" si="51">ROUND(E1156*F1156*G1156,5)</f>
        <v>16400</v>
      </c>
      <c r="I1156" s="114"/>
      <c r="J1156" s="110">
        <f>J1154</f>
        <v>0</v>
      </c>
    </row>
    <row r="1157" spans="1:10" s="55" customFormat="1" ht="17.100000000000001" hidden="1" customHeight="1">
      <c r="A1157" s="50" t="e">
        <f t="shared" si="49"/>
        <v>#REF!</v>
      </c>
      <c r="B1157" s="51"/>
      <c r="C1157" s="51" t="s">
        <v>449</v>
      </c>
      <c r="D1157" s="52" t="s">
        <v>129</v>
      </c>
      <c r="E1157" s="112">
        <f>0.036</f>
        <v>3.5999999999999997E-2</v>
      </c>
      <c r="F1157" s="53">
        <f>VLKS!Q24</f>
        <v>81818</v>
      </c>
      <c r="G1157" s="117">
        <f t="shared" si="50"/>
        <v>1</v>
      </c>
      <c r="H1157" s="54">
        <f t="shared" si="51"/>
        <v>2945.4479999999999</v>
      </c>
      <c r="I1157" s="114"/>
      <c r="J1157" s="110">
        <f>J1154</f>
        <v>0</v>
      </c>
    </row>
    <row r="1158" spans="1:10" s="55" customFormat="1" ht="17.100000000000001" hidden="1" customHeight="1">
      <c r="A1158" s="50" t="e">
        <f t="shared" si="49"/>
        <v>#REF!</v>
      </c>
      <c r="B1158" s="51"/>
      <c r="C1158" s="51" t="s">
        <v>462</v>
      </c>
      <c r="D1158" s="52" t="s">
        <v>451</v>
      </c>
      <c r="E1158" s="112">
        <f>0.012</f>
        <v>1.2E-2</v>
      </c>
      <c r="F1158" s="53">
        <f>VLKS!Q62</f>
        <v>185000</v>
      </c>
      <c r="G1158" s="117">
        <f t="shared" si="50"/>
        <v>1</v>
      </c>
      <c r="H1158" s="54">
        <f t="shared" si="51"/>
        <v>2220</v>
      </c>
      <c r="I1158" s="114"/>
      <c r="J1158" s="110">
        <f>J1154</f>
        <v>0</v>
      </c>
    </row>
    <row r="1159" spans="1:10" s="55" customFormat="1" ht="17.100000000000001" hidden="1" customHeight="1">
      <c r="A1159" s="50" t="e">
        <f t="shared" si="49"/>
        <v>#REF!</v>
      </c>
      <c r="B1159" s="51"/>
      <c r="C1159" s="51" t="s">
        <v>452</v>
      </c>
      <c r="D1159" s="52" t="s">
        <v>129</v>
      </c>
      <c r="E1159" s="112">
        <f>0.06</f>
        <v>0.06</v>
      </c>
      <c r="F1159" s="53">
        <f>VLKS!Q65</f>
        <v>130000</v>
      </c>
      <c r="G1159" s="117">
        <f t="shared" si="50"/>
        <v>1</v>
      </c>
      <c r="H1159" s="54">
        <f t="shared" si="51"/>
        <v>7800</v>
      </c>
      <c r="I1159" s="114"/>
      <c r="J1159" s="110">
        <f>J1154</f>
        <v>0</v>
      </c>
    </row>
    <row r="1160" spans="1:10" s="55" customFormat="1" ht="17.100000000000001" hidden="1" customHeight="1">
      <c r="A1160" s="50" t="e">
        <f t="shared" si="49"/>
        <v>#REF!</v>
      </c>
      <c r="B1160" s="51"/>
      <c r="C1160" s="51" t="s">
        <v>453</v>
      </c>
      <c r="D1160" s="52" t="s">
        <v>82</v>
      </c>
      <c r="E1160" s="112">
        <f>0.02</f>
        <v>0.02</v>
      </c>
      <c r="F1160" s="53">
        <f>VLKS!Q63</f>
        <v>100000</v>
      </c>
      <c r="G1160" s="117">
        <f t="shared" si="50"/>
        <v>1</v>
      </c>
      <c r="H1160" s="54">
        <f t="shared" si="51"/>
        <v>2000</v>
      </c>
      <c r="I1160" s="114"/>
      <c r="J1160" s="110">
        <f>J1154</f>
        <v>0</v>
      </c>
    </row>
    <row r="1161" spans="1:10" s="55" customFormat="1" ht="17.100000000000001" hidden="1" customHeight="1">
      <c r="A1161" s="50" t="e">
        <f t="shared" si="49"/>
        <v>#REF!</v>
      </c>
      <c r="B1161" s="51"/>
      <c r="C1161" s="51" t="s">
        <v>463</v>
      </c>
      <c r="D1161" s="52" t="s">
        <v>129</v>
      </c>
      <c r="E1161" s="112">
        <f>0.04</f>
        <v>0.04</v>
      </c>
      <c r="F1161" s="53">
        <f>VLKS!Q69</f>
        <v>350000</v>
      </c>
      <c r="G1161" s="117">
        <f t="shared" si="50"/>
        <v>1</v>
      </c>
      <c r="H1161" s="54">
        <f t="shared" si="51"/>
        <v>14000</v>
      </c>
      <c r="I1161" s="114"/>
      <c r="J1161" s="110">
        <f>J1154</f>
        <v>0</v>
      </c>
    </row>
    <row r="1162" spans="1:10" s="55" customFormat="1" ht="17.100000000000001" hidden="1" customHeight="1">
      <c r="A1162" s="50" t="e">
        <f t="shared" si="49"/>
        <v>#REF!</v>
      </c>
      <c r="B1162" s="51"/>
      <c r="C1162" s="51" t="s">
        <v>464</v>
      </c>
      <c r="D1162" s="52" t="s">
        <v>82</v>
      </c>
      <c r="E1162" s="112">
        <f>0.002</f>
        <v>2E-3</v>
      </c>
      <c r="F1162" s="53">
        <f>VLKS!Q68</f>
        <v>910000</v>
      </c>
      <c r="G1162" s="117">
        <f t="shared" si="50"/>
        <v>1</v>
      </c>
      <c r="H1162" s="54">
        <f t="shared" si="51"/>
        <v>1820</v>
      </c>
      <c r="I1162" s="114"/>
      <c r="J1162" s="110">
        <f>J1154</f>
        <v>0</v>
      </c>
    </row>
    <row r="1163" spans="1:10" s="55" customFormat="1" ht="17.100000000000001" hidden="1" customHeight="1">
      <c r="A1163" s="50" t="e">
        <f t="shared" si="49"/>
        <v>#REF!</v>
      </c>
      <c r="B1163" s="51"/>
      <c r="C1163" s="51" t="s">
        <v>456</v>
      </c>
      <c r="D1163" s="52" t="s">
        <v>82</v>
      </c>
      <c r="E1163" s="112">
        <f>0.4</f>
        <v>0.4</v>
      </c>
      <c r="F1163" s="53">
        <f>VLKS!Q37</f>
        <v>100000</v>
      </c>
      <c r="G1163" s="117">
        <f t="shared" si="50"/>
        <v>1</v>
      </c>
      <c r="H1163" s="54">
        <f t="shared" si="51"/>
        <v>40000</v>
      </c>
      <c r="I1163" s="114"/>
      <c r="J1163" s="110">
        <f>J1154</f>
        <v>0</v>
      </c>
    </row>
    <row r="1164" spans="1:10" s="55" customFormat="1" ht="17.100000000000001" hidden="1" customHeight="1">
      <c r="A1164" s="50" t="e">
        <f t="shared" si="49"/>
        <v>#REF!</v>
      </c>
      <c r="B1164" s="51"/>
      <c r="C1164" s="51" t="s">
        <v>459</v>
      </c>
      <c r="D1164" s="52" t="s">
        <v>7</v>
      </c>
      <c r="E1164" s="112">
        <f>0.0035</f>
        <v>3.5000000000000001E-3</v>
      </c>
      <c r="F1164" s="53">
        <f>VLKS!Q34</f>
        <v>4090909</v>
      </c>
      <c r="G1164" s="117">
        <f t="shared" si="50"/>
        <v>1</v>
      </c>
      <c r="H1164" s="54">
        <f t="shared" si="51"/>
        <v>14318.181500000001</v>
      </c>
      <c r="I1164" s="114"/>
      <c r="J1164" s="110">
        <f>J1154</f>
        <v>0</v>
      </c>
    </row>
    <row r="1165" spans="1:10" s="55" customFormat="1" ht="17.100000000000001" hidden="1" customHeight="1">
      <c r="A1165" s="50" t="e">
        <f t="shared" si="49"/>
        <v>#REF!</v>
      </c>
      <c r="B1165" s="51"/>
      <c r="C1165" s="51" t="s">
        <v>127</v>
      </c>
      <c r="D1165" s="52" t="s">
        <v>126</v>
      </c>
      <c r="E1165" s="112">
        <f>10</f>
        <v>10</v>
      </c>
      <c r="F1165" s="53"/>
      <c r="G1165" s="117"/>
      <c r="H1165" s="54">
        <f>ROUND(SUM(H1156:H1164)*E1165/100,5)</f>
        <v>10150.362950000001</v>
      </c>
      <c r="I1165" s="114"/>
      <c r="J1165" s="110">
        <f>J1154</f>
        <v>0</v>
      </c>
    </row>
    <row r="1166" spans="1:10" s="55" customFormat="1" ht="17.100000000000001" hidden="1" customHeight="1">
      <c r="A1166" s="50" t="e">
        <f t="shared" si="49"/>
        <v>#REF!</v>
      </c>
      <c r="B1166" s="51"/>
      <c r="C1166" s="51" t="s">
        <v>125</v>
      </c>
      <c r="D1166" s="52" t="s">
        <v>0</v>
      </c>
      <c r="E1166" s="112"/>
      <c r="F1166" s="53"/>
      <c r="G1166" s="117"/>
      <c r="H1166" s="56" t="e">
        <f>ROUND(SUM(H1167:H1167),5)</f>
        <v>#REF!</v>
      </c>
      <c r="I1166" s="115"/>
      <c r="J1166" s="110">
        <f>J1154</f>
        <v>0</v>
      </c>
    </row>
    <row r="1167" spans="1:10" s="55" customFormat="1" ht="17.100000000000001" hidden="1" customHeight="1">
      <c r="A1167" s="50" t="e">
        <f t="shared" si="49"/>
        <v>#REF!</v>
      </c>
      <c r="B1167" s="51"/>
      <c r="C1167" s="51" t="s">
        <v>424</v>
      </c>
      <c r="D1167" s="52" t="s">
        <v>3</v>
      </c>
      <c r="E1167" s="112">
        <f>3.71</f>
        <v>3.71</v>
      </c>
      <c r="F1167" s="53" t="e">
        <f>'NC,M KS'!P6</f>
        <v>#REF!</v>
      </c>
      <c r="G1167" s="117">
        <f>hsnc</f>
        <v>1</v>
      </c>
      <c r="H1167" s="54" t="e">
        <f>ROUND(E1167*F1167*G1167,5)</f>
        <v>#REF!</v>
      </c>
      <c r="I1167" s="114"/>
      <c r="J1167" s="110">
        <f>J1154</f>
        <v>0</v>
      </c>
    </row>
    <row r="1168" spans="1:10" s="55" customFormat="1" ht="17.100000000000001" hidden="1" customHeight="1">
      <c r="A1168" s="50" t="e">
        <f t="shared" si="49"/>
        <v>#REF!</v>
      </c>
      <c r="B1168" s="51"/>
      <c r="C1168" s="51" t="s">
        <v>124</v>
      </c>
      <c r="D1168" s="52" t="s">
        <v>0</v>
      </c>
      <c r="E1168" s="112"/>
      <c r="F1168" s="53"/>
      <c r="G1168" s="117"/>
      <c r="H1168" s="56">
        <f>ROUND(SUM(H1169:H1170),5)</f>
        <v>19638.400000000001</v>
      </c>
      <c r="I1168" s="115"/>
      <c r="J1168" s="110">
        <f>J1154</f>
        <v>0</v>
      </c>
    </row>
    <row r="1169" spans="1:10" s="55" customFormat="1" ht="17.100000000000001" hidden="1" customHeight="1">
      <c r="A1169" s="50" t="e">
        <f t="shared" si="49"/>
        <v>#REF!</v>
      </c>
      <c r="B1169" s="51"/>
      <c r="C1169" s="51" t="s">
        <v>465</v>
      </c>
      <c r="D1169" s="52" t="s">
        <v>4</v>
      </c>
      <c r="E1169" s="112">
        <f>0.24</f>
        <v>0.24</v>
      </c>
      <c r="F1169" s="53">
        <f>'NC,M KS'!P23</f>
        <v>80222.222222222219</v>
      </c>
      <c r="G1169" s="117">
        <f>hsm</f>
        <v>1</v>
      </c>
      <c r="H1169" s="54">
        <f>ROUND(E1169*F1169*G1169,5)</f>
        <v>19253.333330000001</v>
      </c>
      <c r="I1169" s="114"/>
      <c r="J1169" s="110">
        <f>J1154</f>
        <v>0</v>
      </c>
    </row>
    <row r="1170" spans="1:10" s="55" customFormat="1" ht="17.100000000000001" hidden="1" customHeight="1">
      <c r="A1170" s="50" t="e">
        <f t="shared" si="49"/>
        <v>#REF!</v>
      </c>
      <c r="B1170" s="51"/>
      <c r="C1170" s="51" t="s">
        <v>130</v>
      </c>
      <c r="D1170" s="52" t="s">
        <v>126</v>
      </c>
      <c r="E1170" s="112">
        <f>2</f>
        <v>2</v>
      </c>
      <c r="F1170" s="53"/>
      <c r="G1170" s="117"/>
      <c r="H1170" s="54">
        <f>ROUND(SUM(H1169:H1169)*E1170/100,5)</f>
        <v>385.06666999999999</v>
      </c>
      <c r="I1170" s="114"/>
      <c r="J1170" s="110">
        <f>J1154</f>
        <v>0</v>
      </c>
    </row>
    <row r="1171" spans="1:10" s="55" customFormat="1" ht="17.100000000000001" hidden="1" customHeight="1">
      <c r="A1171" s="50" t="e">
        <f t="shared" si="49"/>
        <v>#REF!</v>
      </c>
      <c r="B1171" s="51"/>
      <c r="C1171" s="170" t="s">
        <v>556</v>
      </c>
      <c r="D1171" s="171" t="s">
        <v>136</v>
      </c>
      <c r="E1171" s="172" t="s">
        <v>205</v>
      </c>
      <c r="F1171" s="53"/>
      <c r="G1171" s="117"/>
      <c r="H1171" s="173" t="e">
        <f>ROUND(H1155+H1166+H1168,5)</f>
        <v>#REF!</v>
      </c>
      <c r="I1171" s="114"/>
      <c r="J1171" s="110">
        <f>J1154</f>
        <v>0</v>
      </c>
    </row>
    <row r="1172" spans="1:10" s="55" customFormat="1" ht="17.100000000000001" hidden="1" customHeight="1">
      <c r="A1172" s="50" t="e">
        <f t="shared" si="49"/>
        <v>#REF!</v>
      </c>
      <c r="B1172" s="51"/>
      <c r="C1172" s="170" t="s">
        <v>557</v>
      </c>
      <c r="D1172" s="171" t="s">
        <v>204</v>
      </c>
      <c r="E1172" s="172" t="s">
        <v>558</v>
      </c>
      <c r="F1172" s="53"/>
      <c r="G1172" s="117"/>
      <c r="H1172" s="173" t="e">
        <f>SUM(H1173:H1174)</f>
        <v>#REF!</v>
      </c>
      <c r="I1172" s="114"/>
      <c r="J1172" s="110">
        <f>J1154</f>
        <v>0</v>
      </c>
    </row>
    <row r="1173" spans="1:10" s="55" customFormat="1" ht="17.100000000000001" hidden="1" customHeight="1">
      <c r="A1173" s="50" t="e">
        <f t="shared" si="49"/>
        <v>#REF!</v>
      </c>
      <c r="B1173" s="51"/>
      <c r="C1173" s="51" t="s">
        <v>426</v>
      </c>
      <c r="D1173" s="52" t="s">
        <v>559</v>
      </c>
      <c r="E1173" s="116">
        <f>cpc</f>
        <v>0.7</v>
      </c>
      <c r="F1173" s="174"/>
      <c r="G1173" s="175"/>
      <c r="H1173" s="54" t="e">
        <f>E1173*H1166</f>
        <v>#REF!</v>
      </c>
      <c r="I1173" s="114"/>
      <c r="J1173" s="110">
        <f>J1154</f>
        <v>0</v>
      </c>
    </row>
    <row r="1174" spans="1:10" s="55" customFormat="1" ht="17.100000000000001" hidden="1" customHeight="1">
      <c r="A1174" s="50" t="e">
        <f t="shared" si="49"/>
        <v>#REF!</v>
      </c>
      <c r="B1174" s="51"/>
      <c r="C1174" s="78" t="s">
        <v>560</v>
      </c>
      <c r="D1174" s="79" t="s">
        <v>561</v>
      </c>
      <c r="E1174" s="176">
        <f>hmc</f>
        <v>0.05</v>
      </c>
      <c r="F1174" s="53"/>
      <c r="G1174" s="113"/>
      <c r="H1174" s="54" t="e">
        <f>E1174*H1171</f>
        <v>#REF!</v>
      </c>
      <c r="I1174" s="114"/>
      <c r="J1174" s="715">
        <f>J1154</f>
        <v>0</v>
      </c>
    </row>
    <row r="1175" spans="1:10" s="55" customFormat="1" ht="17.100000000000001" hidden="1" customHeight="1">
      <c r="A1175" s="50" t="e">
        <f t="shared" si="49"/>
        <v>#REF!</v>
      </c>
      <c r="B1175" s="51"/>
      <c r="C1175" s="170" t="s">
        <v>562</v>
      </c>
      <c r="D1175" s="171" t="s">
        <v>563</v>
      </c>
      <c r="E1175" s="179">
        <f>tn</f>
        <v>0.06</v>
      </c>
      <c r="F1175" s="177"/>
      <c r="G1175" s="178"/>
      <c r="H1175" s="181" t="e">
        <f>SUM(H1171:H1172)*E1175</f>
        <v>#REF!</v>
      </c>
      <c r="I1175" s="114"/>
      <c r="J1175" s="715">
        <f>J1154</f>
        <v>0</v>
      </c>
    </row>
    <row r="1176" spans="1:10" s="55" customFormat="1" ht="17.100000000000001" hidden="1" customHeight="1">
      <c r="A1176" s="50" t="e">
        <f t="shared" si="49"/>
        <v>#REF!</v>
      </c>
      <c r="B1176" s="51"/>
      <c r="C1176" s="92" t="s">
        <v>1879</v>
      </c>
      <c r="D1176" s="171" t="s">
        <v>227</v>
      </c>
      <c r="E1176" s="180" t="s">
        <v>564</v>
      </c>
      <c r="F1176" s="174"/>
      <c r="G1176" s="175"/>
      <c r="H1176" s="173" t="e">
        <f>SUM(H1177:H1178)</f>
        <v>#REF!</v>
      </c>
      <c r="I1176" s="114"/>
      <c r="J1176" s="715">
        <f>J1154</f>
        <v>0</v>
      </c>
    </row>
    <row r="1177" spans="1:10" s="55" customFormat="1" ht="17.100000000000001" hidden="1" customHeight="1">
      <c r="A1177" s="50" t="e">
        <f t="shared" si="49"/>
        <v>#REF!</v>
      </c>
      <c r="B1177" s="51"/>
      <c r="C1177" s="51" t="s">
        <v>427</v>
      </c>
      <c r="D1177" s="52" t="s">
        <v>428</v>
      </c>
      <c r="E1177" s="1093">
        <f>paks</f>
        <v>0</v>
      </c>
      <c r="F1177" s="174"/>
      <c r="G1177" s="175"/>
      <c r="H1177" s="54" t="e">
        <f>(H1171+H1172+H1175)*E1177</f>
        <v>#REF!</v>
      </c>
      <c r="I1177" s="114"/>
      <c r="J1177" s="715">
        <f>J1154</f>
        <v>0</v>
      </c>
    </row>
    <row r="1178" spans="1:10" s="55" customFormat="1" ht="17.100000000000001" hidden="1" customHeight="1">
      <c r="A1178" s="50" t="e">
        <f t="shared" si="49"/>
        <v>#REF!</v>
      </c>
      <c r="B1178" s="51"/>
      <c r="C1178" s="51" t="s">
        <v>429</v>
      </c>
      <c r="D1178" s="52" t="s">
        <v>430</v>
      </c>
      <c r="E1178" s="1093">
        <f>bcks</f>
        <v>0.03</v>
      </c>
      <c r="F1178" s="53"/>
      <c r="G1178" s="113"/>
      <c r="H1178" s="54" t="e">
        <f>(H1171+H1172+H1175)*E1178</f>
        <v>#REF!</v>
      </c>
      <c r="I1178" s="114"/>
      <c r="J1178" s="715">
        <f>J1154</f>
        <v>0</v>
      </c>
    </row>
    <row r="1179" spans="1:10" s="55" customFormat="1" ht="17.100000000000001" hidden="1" customHeight="1">
      <c r="A1179" s="50" t="e">
        <f t="shared" si="49"/>
        <v>#REF!</v>
      </c>
      <c r="B1179" s="51"/>
      <c r="C1179" s="170" t="s">
        <v>565</v>
      </c>
      <c r="D1179" s="171" t="s">
        <v>218</v>
      </c>
      <c r="E1179" s="172" t="s">
        <v>566</v>
      </c>
      <c r="F1179" s="53"/>
      <c r="G1179" s="113"/>
      <c r="H1179" s="173" t="e">
        <f>H1171+H1172+H1175+H1176</f>
        <v>#REF!</v>
      </c>
      <c r="I1179" s="114"/>
      <c r="J1179" s="715">
        <f>J1154</f>
        <v>0</v>
      </c>
    </row>
    <row r="1180" spans="1:10" s="55" customFormat="1" ht="17.100000000000001" hidden="1" customHeight="1">
      <c r="A1180" s="50" t="e">
        <f t="shared" si="49"/>
        <v>#REF!</v>
      </c>
      <c r="B1180" s="51"/>
      <c r="C1180" s="51" t="s">
        <v>567</v>
      </c>
      <c r="D1180" s="52" t="s">
        <v>222</v>
      </c>
      <c r="E1180" s="112" t="s">
        <v>1917</v>
      </c>
      <c r="F1180" s="174"/>
      <c r="G1180" s="175"/>
      <c r="H1180" s="54" t="e">
        <f>ROUND(H1179*10/100,5)</f>
        <v>#REF!</v>
      </c>
      <c r="I1180" s="114"/>
      <c r="J1180" s="715">
        <f>J1154</f>
        <v>0</v>
      </c>
    </row>
    <row r="1181" spans="1:10" s="55" customFormat="1" ht="17.100000000000001" hidden="1" customHeight="1">
      <c r="A1181" s="50" t="e">
        <f t="shared" si="49"/>
        <v>#REF!</v>
      </c>
      <c r="B1181" s="51"/>
      <c r="C1181" s="170" t="s">
        <v>568</v>
      </c>
      <c r="D1181" s="171" t="s">
        <v>225</v>
      </c>
      <c r="E1181" s="172" t="s">
        <v>192</v>
      </c>
      <c r="F1181" s="53"/>
      <c r="G1181" s="117"/>
      <c r="H1181" s="56" t="e">
        <f>ROUND(H1179+H1180,5)</f>
        <v>#REF!</v>
      </c>
      <c r="I1181" s="115"/>
      <c r="J1181" s="715">
        <f>J1154</f>
        <v>0</v>
      </c>
    </row>
    <row r="1182" spans="1:10" s="263" customFormat="1" ht="17.100000000000001" hidden="1" customHeight="1">
      <c r="A1182" s="264" t="e">
        <f t="shared" si="49"/>
        <v>#REF!</v>
      </c>
      <c r="B1182" s="265" t="s">
        <v>391</v>
      </c>
      <c r="C1182" s="265" t="s">
        <v>1671</v>
      </c>
      <c r="D1182" s="266" t="s">
        <v>310</v>
      </c>
      <c r="E1182" s="270"/>
      <c r="F1182" s="267"/>
      <c r="G1182" s="271"/>
      <c r="H1182" s="268" t="e">
        <f>H1209</f>
        <v>#REF!</v>
      </c>
      <c r="I1182" s="272"/>
      <c r="J1182" s="273">
        <f>IF(SUMIF(Khaosat!$B$6:$B$47,'PT giaKS'!B1182,Khaosat!$I$6:$I$47)&lt;&gt;0,$J$6,0)</f>
        <v>0</v>
      </c>
    </row>
    <row r="1183" spans="1:10" s="55" customFormat="1" ht="17.100000000000001" hidden="1" customHeight="1">
      <c r="A1183" s="50" t="e">
        <f t="shared" si="49"/>
        <v>#REF!</v>
      </c>
      <c r="B1183" s="51"/>
      <c r="C1183" s="51" t="s">
        <v>128</v>
      </c>
      <c r="D1183" s="52" t="s">
        <v>0</v>
      </c>
      <c r="E1183" s="112"/>
      <c r="F1183" s="53"/>
      <c r="G1183" s="117"/>
      <c r="H1183" s="56">
        <f>ROUND(SUM(H1184:H1193),5)</f>
        <v>132451.49004999999</v>
      </c>
      <c r="I1183" s="115"/>
      <c r="J1183" s="110">
        <f>J1182</f>
        <v>0</v>
      </c>
    </row>
    <row r="1184" spans="1:10" s="55" customFormat="1" ht="17.100000000000001" hidden="1" customHeight="1">
      <c r="A1184" s="50" t="e">
        <f t="shared" si="49"/>
        <v>#REF!</v>
      </c>
      <c r="B1184" s="51"/>
      <c r="C1184" s="51" t="s">
        <v>461</v>
      </c>
      <c r="D1184" s="52" t="s">
        <v>82</v>
      </c>
      <c r="E1184" s="112">
        <f>0.35</f>
        <v>0.35</v>
      </c>
      <c r="F1184" s="53">
        <f>VLKS!Q43</f>
        <v>100000</v>
      </c>
      <c r="G1184" s="117">
        <f t="shared" ref="G1184:G1192" si="52">hsvl</f>
        <v>1</v>
      </c>
      <c r="H1184" s="54">
        <f t="shared" ref="H1184:H1192" si="53">ROUND(E1184*F1184*G1184,5)</f>
        <v>35000</v>
      </c>
      <c r="I1184" s="114"/>
      <c r="J1184" s="110">
        <f>J1182</f>
        <v>0</v>
      </c>
    </row>
    <row r="1185" spans="1:10" s="55" customFormat="1" ht="17.100000000000001" hidden="1" customHeight="1">
      <c r="A1185" s="50" t="e">
        <f t="shared" si="49"/>
        <v>#REF!</v>
      </c>
      <c r="B1185" s="51"/>
      <c r="C1185" s="51" t="s">
        <v>449</v>
      </c>
      <c r="D1185" s="52" t="s">
        <v>129</v>
      </c>
      <c r="E1185" s="112">
        <f>0.048</f>
        <v>4.8000000000000001E-2</v>
      </c>
      <c r="F1185" s="53">
        <f>VLKS!Q24</f>
        <v>81818</v>
      </c>
      <c r="G1185" s="117">
        <f t="shared" si="52"/>
        <v>1</v>
      </c>
      <c r="H1185" s="54">
        <f t="shared" si="53"/>
        <v>3927.2640000000001</v>
      </c>
      <c r="I1185" s="114"/>
      <c r="J1185" s="110">
        <f>J1182</f>
        <v>0</v>
      </c>
    </row>
    <row r="1186" spans="1:10" s="55" customFormat="1" ht="17.100000000000001" hidden="1" customHeight="1">
      <c r="A1186" s="50" t="e">
        <f t="shared" si="49"/>
        <v>#REF!</v>
      </c>
      <c r="B1186" s="51"/>
      <c r="C1186" s="51" t="s">
        <v>462</v>
      </c>
      <c r="D1186" s="52" t="s">
        <v>451</v>
      </c>
      <c r="E1186" s="112">
        <f>0.017</f>
        <v>1.7000000000000001E-2</v>
      </c>
      <c r="F1186" s="53">
        <f>VLKS!Q62</f>
        <v>185000</v>
      </c>
      <c r="G1186" s="117">
        <f t="shared" si="52"/>
        <v>1</v>
      </c>
      <c r="H1186" s="54">
        <f t="shared" si="53"/>
        <v>3145</v>
      </c>
      <c r="I1186" s="114"/>
      <c r="J1186" s="110">
        <f>J1182</f>
        <v>0</v>
      </c>
    </row>
    <row r="1187" spans="1:10" s="55" customFormat="1" ht="17.100000000000001" hidden="1" customHeight="1">
      <c r="A1187" s="50" t="e">
        <f t="shared" si="49"/>
        <v>#REF!</v>
      </c>
      <c r="B1187" s="51"/>
      <c r="C1187" s="51" t="s">
        <v>452</v>
      </c>
      <c r="D1187" s="52" t="s">
        <v>129</v>
      </c>
      <c r="E1187" s="112">
        <f>0.05</f>
        <v>0.05</v>
      </c>
      <c r="F1187" s="53">
        <f>VLKS!Q65</f>
        <v>130000</v>
      </c>
      <c r="G1187" s="117">
        <f t="shared" si="52"/>
        <v>1</v>
      </c>
      <c r="H1187" s="54">
        <f t="shared" si="53"/>
        <v>6500</v>
      </c>
      <c r="I1187" s="114"/>
      <c r="J1187" s="110">
        <f>J1182</f>
        <v>0</v>
      </c>
    </row>
    <row r="1188" spans="1:10" s="55" customFormat="1" ht="17.100000000000001" hidden="1" customHeight="1">
      <c r="A1188" s="50" t="e">
        <f t="shared" si="49"/>
        <v>#REF!</v>
      </c>
      <c r="B1188" s="51"/>
      <c r="C1188" s="51" t="s">
        <v>453</v>
      </c>
      <c r="D1188" s="52" t="s">
        <v>82</v>
      </c>
      <c r="E1188" s="112">
        <f>0.017</f>
        <v>1.7000000000000001E-2</v>
      </c>
      <c r="F1188" s="53">
        <f>VLKS!Q63</f>
        <v>100000</v>
      </c>
      <c r="G1188" s="117">
        <f t="shared" si="52"/>
        <v>1</v>
      </c>
      <c r="H1188" s="54">
        <f t="shared" si="53"/>
        <v>1700</v>
      </c>
      <c r="I1188" s="114"/>
      <c r="J1188" s="110">
        <f>J1182</f>
        <v>0</v>
      </c>
    </row>
    <row r="1189" spans="1:10" s="55" customFormat="1" ht="17.100000000000001" hidden="1" customHeight="1">
      <c r="A1189" s="50" t="e">
        <f t="shared" si="49"/>
        <v>#REF!</v>
      </c>
      <c r="B1189" s="51"/>
      <c r="C1189" s="51" t="s">
        <v>463</v>
      </c>
      <c r="D1189" s="52" t="s">
        <v>129</v>
      </c>
      <c r="E1189" s="112">
        <f>0.04</f>
        <v>0.04</v>
      </c>
      <c r="F1189" s="53">
        <f>VLKS!Q69</f>
        <v>350000</v>
      </c>
      <c r="G1189" s="117">
        <f t="shared" si="52"/>
        <v>1</v>
      </c>
      <c r="H1189" s="54">
        <f t="shared" si="53"/>
        <v>14000</v>
      </c>
      <c r="I1189" s="114"/>
      <c r="J1189" s="110">
        <f>J1182</f>
        <v>0</v>
      </c>
    </row>
    <row r="1190" spans="1:10" s="55" customFormat="1" ht="17.100000000000001" hidden="1" customHeight="1">
      <c r="A1190" s="50" t="e">
        <f t="shared" si="49"/>
        <v>#REF!</v>
      </c>
      <c r="B1190" s="51"/>
      <c r="C1190" s="51" t="s">
        <v>464</v>
      </c>
      <c r="D1190" s="52" t="s">
        <v>82</v>
      </c>
      <c r="E1190" s="112">
        <f>0.002</f>
        <v>2E-3</v>
      </c>
      <c r="F1190" s="53">
        <f>VLKS!Q68</f>
        <v>910000</v>
      </c>
      <c r="G1190" s="117">
        <f t="shared" si="52"/>
        <v>1</v>
      </c>
      <c r="H1190" s="54">
        <f t="shared" si="53"/>
        <v>1820</v>
      </c>
      <c r="I1190" s="114"/>
      <c r="J1190" s="110">
        <f>J1182</f>
        <v>0</v>
      </c>
    </row>
    <row r="1191" spans="1:10" s="55" customFormat="1" ht="17.100000000000001" hidden="1" customHeight="1">
      <c r="A1191" s="50" t="e">
        <f t="shared" si="49"/>
        <v>#REF!</v>
      </c>
      <c r="B1191" s="51"/>
      <c r="C1191" s="51" t="s">
        <v>456</v>
      </c>
      <c r="D1191" s="52" t="s">
        <v>82</v>
      </c>
      <c r="E1191" s="112">
        <f>0.4</f>
        <v>0.4</v>
      </c>
      <c r="F1191" s="53">
        <f>VLKS!Q37</f>
        <v>100000</v>
      </c>
      <c r="G1191" s="117">
        <f t="shared" si="52"/>
        <v>1</v>
      </c>
      <c r="H1191" s="54">
        <f t="shared" si="53"/>
        <v>40000</v>
      </c>
      <c r="I1191" s="114"/>
      <c r="J1191" s="110">
        <f>J1182</f>
        <v>0</v>
      </c>
    </row>
    <row r="1192" spans="1:10" s="55" customFormat="1" ht="17.100000000000001" hidden="1" customHeight="1">
      <c r="A1192" s="50" t="e">
        <f t="shared" si="49"/>
        <v>#REF!</v>
      </c>
      <c r="B1192" s="51"/>
      <c r="C1192" s="51" t="s">
        <v>459</v>
      </c>
      <c r="D1192" s="52" t="s">
        <v>7</v>
      </c>
      <c r="E1192" s="112">
        <f>0.0035</f>
        <v>3.5000000000000001E-3</v>
      </c>
      <c r="F1192" s="53">
        <f>VLKS!Q34</f>
        <v>4090909</v>
      </c>
      <c r="G1192" s="117">
        <f t="shared" si="52"/>
        <v>1</v>
      </c>
      <c r="H1192" s="54">
        <f t="shared" si="53"/>
        <v>14318.181500000001</v>
      </c>
      <c r="I1192" s="114"/>
      <c r="J1192" s="110">
        <f>J1182</f>
        <v>0</v>
      </c>
    </row>
    <row r="1193" spans="1:10" s="55" customFormat="1" ht="17.100000000000001" hidden="1" customHeight="1">
      <c r="A1193" s="50" t="e">
        <f t="shared" si="49"/>
        <v>#REF!</v>
      </c>
      <c r="B1193" s="51"/>
      <c r="C1193" s="51" t="s">
        <v>127</v>
      </c>
      <c r="D1193" s="52" t="s">
        <v>126</v>
      </c>
      <c r="E1193" s="112">
        <f>10</f>
        <v>10</v>
      </c>
      <c r="F1193" s="53"/>
      <c r="G1193" s="117"/>
      <c r="H1193" s="54">
        <f>ROUND(SUM(H1184:H1192)*E1193/100,5)</f>
        <v>12041.044550000001</v>
      </c>
      <c r="I1193" s="114"/>
      <c r="J1193" s="110">
        <f>J1182</f>
        <v>0</v>
      </c>
    </row>
    <row r="1194" spans="1:10" s="55" customFormat="1" ht="17.100000000000001" hidden="1" customHeight="1">
      <c r="A1194" s="50" t="e">
        <f t="shared" si="49"/>
        <v>#REF!</v>
      </c>
      <c r="B1194" s="51"/>
      <c r="C1194" s="51" t="s">
        <v>125</v>
      </c>
      <c r="D1194" s="52" t="s">
        <v>0</v>
      </c>
      <c r="E1194" s="112"/>
      <c r="F1194" s="53"/>
      <c r="G1194" s="117"/>
      <c r="H1194" s="56" t="e">
        <f>ROUND(SUM(H1195:H1195),5)</f>
        <v>#REF!</v>
      </c>
      <c r="I1194" s="115"/>
      <c r="J1194" s="110">
        <f>J1182</f>
        <v>0</v>
      </c>
    </row>
    <row r="1195" spans="1:10" s="55" customFormat="1" ht="17.100000000000001" hidden="1" customHeight="1">
      <c r="A1195" s="50" t="e">
        <f t="shared" si="49"/>
        <v>#REF!</v>
      </c>
      <c r="B1195" s="51"/>
      <c r="C1195" s="51" t="s">
        <v>424</v>
      </c>
      <c r="D1195" s="52" t="s">
        <v>3</v>
      </c>
      <c r="E1195" s="112">
        <f>5.19</f>
        <v>5.19</v>
      </c>
      <c r="F1195" s="53" t="e">
        <f>'NC,M KS'!P6</f>
        <v>#REF!</v>
      </c>
      <c r="G1195" s="117">
        <f>hsnc</f>
        <v>1</v>
      </c>
      <c r="H1195" s="54" t="e">
        <f>ROUND(E1195*F1195*G1195,5)</f>
        <v>#REF!</v>
      </c>
      <c r="I1195" s="114"/>
      <c r="J1195" s="110">
        <f>J1182</f>
        <v>0</v>
      </c>
    </row>
    <row r="1196" spans="1:10" s="55" customFormat="1" ht="17.100000000000001" hidden="1" customHeight="1">
      <c r="A1196" s="50" t="e">
        <f t="shared" si="49"/>
        <v>#REF!</v>
      </c>
      <c r="B1196" s="51"/>
      <c r="C1196" s="51" t="s">
        <v>124</v>
      </c>
      <c r="D1196" s="52" t="s">
        <v>0</v>
      </c>
      <c r="E1196" s="112"/>
      <c r="F1196" s="53"/>
      <c r="G1196" s="117"/>
      <c r="H1196" s="56">
        <f>ROUND(SUM(H1197:H1198),5)</f>
        <v>31912.400000000001</v>
      </c>
      <c r="I1196" s="115"/>
      <c r="J1196" s="110">
        <f>J1182</f>
        <v>0</v>
      </c>
    </row>
    <row r="1197" spans="1:10" s="55" customFormat="1" ht="17.100000000000001" hidden="1" customHeight="1">
      <c r="A1197" s="50" t="e">
        <f t="shared" si="49"/>
        <v>#REF!</v>
      </c>
      <c r="B1197" s="51"/>
      <c r="C1197" s="51" t="s">
        <v>465</v>
      </c>
      <c r="D1197" s="52" t="s">
        <v>4</v>
      </c>
      <c r="E1197" s="112">
        <f>0.39</f>
        <v>0.39</v>
      </c>
      <c r="F1197" s="53">
        <f>'NC,M KS'!P23</f>
        <v>80222.222222222219</v>
      </c>
      <c r="G1197" s="117">
        <f>hsm</f>
        <v>1</v>
      </c>
      <c r="H1197" s="54">
        <f>ROUND(E1197*F1197*G1197,5)</f>
        <v>31286.666669999999</v>
      </c>
      <c r="I1197" s="114"/>
      <c r="J1197" s="110">
        <f>J1182</f>
        <v>0</v>
      </c>
    </row>
    <row r="1198" spans="1:10" s="55" customFormat="1" ht="17.100000000000001" hidden="1" customHeight="1">
      <c r="A1198" s="50" t="e">
        <f t="shared" si="49"/>
        <v>#REF!</v>
      </c>
      <c r="B1198" s="51"/>
      <c r="C1198" s="51" t="s">
        <v>130</v>
      </c>
      <c r="D1198" s="52" t="s">
        <v>126</v>
      </c>
      <c r="E1198" s="112">
        <f>2</f>
        <v>2</v>
      </c>
      <c r="F1198" s="53"/>
      <c r="G1198" s="117"/>
      <c r="H1198" s="54">
        <f>ROUND(SUM(H1197:H1197)*E1198/100,5)</f>
        <v>625.73333000000002</v>
      </c>
      <c r="I1198" s="114"/>
      <c r="J1198" s="110">
        <f>J1182</f>
        <v>0</v>
      </c>
    </row>
    <row r="1199" spans="1:10" s="55" customFormat="1" ht="17.100000000000001" hidden="1" customHeight="1">
      <c r="A1199" s="50" t="e">
        <f t="shared" si="49"/>
        <v>#REF!</v>
      </c>
      <c r="B1199" s="51"/>
      <c r="C1199" s="170" t="s">
        <v>556</v>
      </c>
      <c r="D1199" s="171" t="s">
        <v>136</v>
      </c>
      <c r="E1199" s="172" t="s">
        <v>205</v>
      </c>
      <c r="F1199" s="53"/>
      <c r="G1199" s="117"/>
      <c r="H1199" s="173" t="e">
        <f>ROUND(H1183+H1194+H1196,5)</f>
        <v>#REF!</v>
      </c>
      <c r="I1199" s="114"/>
      <c r="J1199" s="110">
        <f>J1182</f>
        <v>0</v>
      </c>
    </row>
    <row r="1200" spans="1:10" s="55" customFormat="1" ht="17.100000000000001" hidden="1" customHeight="1">
      <c r="A1200" s="50" t="e">
        <f t="shared" ref="A1200:A1263" si="54">IF(B1200&lt;&gt;0,A1199+J1200,A1199)</f>
        <v>#REF!</v>
      </c>
      <c r="B1200" s="51"/>
      <c r="C1200" s="170" t="s">
        <v>557</v>
      </c>
      <c r="D1200" s="171" t="s">
        <v>204</v>
      </c>
      <c r="E1200" s="172" t="s">
        <v>558</v>
      </c>
      <c r="F1200" s="53"/>
      <c r="G1200" s="117"/>
      <c r="H1200" s="173" t="e">
        <f>SUM(H1201:H1202)</f>
        <v>#REF!</v>
      </c>
      <c r="I1200" s="114"/>
      <c r="J1200" s="110">
        <f>J1182</f>
        <v>0</v>
      </c>
    </row>
    <row r="1201" spans="1:10" s="55" customFormat="1" ht="17.100000000000001" hidden="1" customHeight="1">
      <c r="A1201" s="50" t="e">
        <f t="shared" si="54"/>
        <v>#REF!</v>
      </c>
      <c r="B1201" s="51"/>
      <c r="C1201" s="51" t="s">
        <v>426</v>
      </c>
      <c r="D1201" s="52" t="s">
        <v>559</v>
      </c>
      <c r="E1201" s="116">
        <f>cpc</f>
        <v>0.7</v>
      </c>
      <c r="F1201" s="174"/>
      <c r="G1201" s="175"/>
      <c r="H1201" s="54" t="e">
        <f>E1201*H1194</f>
        <v>#REF!</v>
      </c>
      <c r="I1201" s="114"/>
      <c r="J1201" s="110">
        <f>J1182</f>
        <v>0</v>
      </c>
    </row>
    <row r="1202" spans="1:10" s="55" customFormat="1" ht="17.100000000000001" hidden="1" customHeight="1">
      <c r="A1202" s="50" t="e">
        <f t="shared" si="54"/>
        <v>#REF!</v>
      </c>
      <c r="B1202" s="51"/>
      <c r="C1202" s="78" t="s">
        <v>560</v>
      </c>
      <c r="D1202" s="79" t="s">
        <v>561</v>
      </c>
      <c r="E1202" s="176">
        <f>hmc</f>
        <v>0.05</v>
      </c>
      <c r="F1202" s="53"/>
      <c r="G1202" s="113"/>
      <c r="H1202" s="54" t="e">
        <f>E1202*H1199</f>
        <v>#REF!</v>
      </c>
      <c r="I1202" s="114"/>
      <c r="J1202" s="715">
        <f>J1182</f>
        <v>0</v>
      </c>
    </row>
    <row r="1203" spans="1:10" s="55" customFormat="1" ht="17.100000000000001" hidden="1" customHeight="1">
      <c r="A1203" s="50" t="e">
        <f t="shared" si="54"/>
        <v>#REF!</v>
      </c>
      <c r="B1203" s="51"/>
      <c r="C1203" s="170" t="s">
        <v>562</v>
      </c>
      <c r="D1203" s="171" t="s">
        <v>563</v>
      </c>
      <c r="E1203" s="179">
        <f>tn</f>
        <v>0.06</v>
      </c>
      <c r="F1203" s="177"/>
      <c r="G1203" s="178"/>
      <c r="H1203" s="181" t="e">
        <f>SUM(H1199:H1200)*E1203</f>
        <v>#REF!</v>
      </c>
      <c r="I1203" s="114"/>
      <c r="J1203" s="715">
        <f>J1182</f>
        <v>0</v>
      </c>
    </row>
    <row r="1204" spans="1:10" s="55" customFormat="1" ht="17.100000000000001" hidden="1" customHeight="1">
      <c r="A1204" s="50" t="e">
        <f t="shared" si="54"/>
        <v>#REF!</v>
      </c>
      <c r="B1204" s="51"/>
      <c r="C1204" s="92" t="s">
        <v>1879</v>
      </c>
      <c r="D1204" s="171" t="s">
        <v>227</v>
      </c>
      <c r="E1204" s="180" t="s">
        <v>564</v>
      </c>
      <c r="F1204" s="174"/>
      <c r="G1204" s="175"/>
      <c r="H1204" s="173" t="e">
        <f>SUM(H1205:H1206)</f>
        <v>#REF!</v>
      </c>
      <c r="I1204" s="114"/>
      <c r="J1204" s="715">
        <f>J1182</f>
        <v>0</v>
      </c>
    </row>
    <row r="1205" spans="1:10" s="55" customFormat="1" ht="17.100000000000001" hidden="1" customHeight="1">
      <c r="A1205" s="50" t="e">
        <f t="shared" si="54"/>
        <v>#REF!</v>
      </c>
      <c r="B1205" s="51"/>
      <c r="C1205" s="51" t="s">
        <v>427</v>
      </c>
      <c r="D1205" s="52" t="s">
        <v>428</v>
      </c>
      <c r="E1205" s="1093">
        <f>paks</f>
        <v>0</v>
      </c>
      <c r="F1205" s="174"/>
      <c r="G1205" s="175"/>
      <c r="H1205" s="54" t="e">
        <f>(H1199+H1200+H1203)*E1205</f>
        <v>#REF!</v>
      </c>
      <c r="I1205" s="114"/>
      <c r="J1205" s="715">
        <f>J1182</f>
        <v>0</v>
      </c>
    </row>
    <row r="1206" spans="1:10" s="55" customFormat="1" ht="17.100000000000001" hidden="1" customHeight="1">
      <c r="A1206" s="50" t="e">
        <f t="shared" si="54"/>
        <v>#REF!</v>
      </c>
      <c r="B1206" s="51"/>
      <c r="C1206" s="51" t="s">
        <v>429</v>
      </c>
      <c r="D1206" s="52" t="s">
        <v>430</v>
      </c>
      <c r="E1206" s="1093">
        <f>bcks</f>
        <v>0.03</v>
      </c>
      <c r="F1206" s="53"/>
      <c r="G1206" s="113"/>
      <c r="H1206" s="54" t="e">
        <f>(H1199+H1200+H1203)*E1206</f>
        <v>#REF!</v>
      </c>
      <c r="I1206" s="114"/>
      <c r="J1206" s="715">
        <f>J1182</f>
        <v>0</v>
      </c>
    </row>
    <row r="1207" spans="1:10" s="55" customFormat="1" ht="17.100000000000001" hidden="1" customHeight="1">
      <c r="A1207" s="50" t="e">
        <f t="shared" si="54"/>
        <v>#REF!</v>
      </c>
      <c r="B1207" s="51"/>
      <c r="C1207" s="170" t="s">
        <v>565</v>
      </c>
      <c r="D1207" s="171" t="s">
        <v>218</v>
      </c>
      <c r="E1207" s="172" t="s">
        <v>566</v>
      </c>
      <c r="F1207" s="53"/>
      <c r="G1207" s="113"/>
      <c r="H1207" s="173" t="e">
        <f>H1199+H1200+H1203+H1204</f>
        <v>#REF!</v>
      </c>
      <c r="I1207" s="114"/>
      <c r="J1207" s="715">
        <f>J1182</f>
        <v>0</v>
      </c>
    </row>
    <row r="1208" spans="1:10" s="55" customFormat="1" ht="17.100000000000001" hidden="1" customHeight="1">
      <c r="A1208" s="50" t="e">
        <f t="shared" si="54"/>
        <v>#REF!</v>
      </c>
      <c r="B1208" s="51"/>
      <c r="C1208" s="51" t="s">
        <v>567</v>
      </c>
      <c r="D1208" s="52" t="s">
        <v>222</v>
      </c>
      <c r="E1208" s="112" t="s">
        <v>1917</v>
      </c>
      <c r="F1208" s="174"/>
      <c r="G1208" s="175"/>
      <c r="H1208" s="54" t="e">
        <f>ROUND(H1207*10/100,5)</f>
        <v>#REF!</v>
      </c>
      <c r="I1208" s="114"/>
      <c r="J1208" s="715">
        <f>J1182</f>
        <v>0</v>
      </c>
    </row>
    <row r="1209" spans="1:10" s="55" customFormat="1" ht="17.100000000000001" hidden="1" customHeight="1">
      <c r="A1209" s="50" t="e">
        <f t="shared" si="54"/>
        <v>#REF!</v>
      </c>
      <c r="B1209" s="51"/>
      <c r="C1209" s="170" t="s">
        <v>568</v>
      </c>
      <c r="D1209" s="171" t="s">
        <v>225</v>
      </c>
      <c r="E1209" s="172" t="s">
        <v>192</v>
      </c>
      <c r="F1209" s="53"/>
      <c r="G1209" s="117"/>
      <c r="H1209" s="56" t="e">
        <f>ROUND(H1207+H1208,5)</f>
        <v>#REF!</v>
      </c>
      <c r="I1209" s="115"/>
      <c r="J1209" s="715">
        <f>J1182</f>
        <v>0</v>
      </c>
    </row>
    <row r="1210" spans="1:10" s="263" customFormat="1" ht="17.100000000000001" hidden="1" customHeight="1">
      <c r="A1210" s="264" t="e">
        <f t="shared" si="54"/>
        <v>#REF!</v>
      </c>
      <c r="B1210" s="265" t="s">
        <v>392</v>
      </c>
      <c r="C1210" s="265" t="s">
        <v>1672</v>
      </c>
      <c r="D1210" s="266" t="s">
        <v>310</v>
      </c>
      <c r="E1210" s="270"/>
      <c r="F1210" s="267"/>
      <c r="G1210" s="271"/>
      <c r="H1210" s="268" t="e">
        <f>H1238</f>
        <v>#REF!</v>
      </c>
      <c r="I1210" s="272"/>
      <c r="J1210" s="273">
        <f>IF(SUMIF(Khaosat!$B$6:$B$47,'PT giaKS'!B1210,Khaosat!$I$6:$I$47)&lt;&gt;0,$J$6,0)</f>
        <v>0</v>
      </c>
    </row>
    <row r="1211" spans="1:10" s="55" customFormat="1" ht="17.100000000000001" hidden="1" customHeight="1">
      <c r="A1211" s="50" t="e">
        <f t="shared" si="54"/>
        <v>#REF!</v>
      </c>
      <c r="B1211" s="51"/>
      <c r="C1211" s="51" t="s">
        <v>128</v>
      </c>
      <c r="D1211" s="52" t="s">
        <v>0</v>
      </c>
      <c r="E1211" s="112"/>
      <c r="F1211" s="53"/>
      <c r="G1211" s="117"/>
      <c r="H1211" s="56">
        <f>ROUND(SUM(H1212:H1222),5)</f>
        <v>207444.98884999999</v>
      </c>
      <c r="I1211" s="115"/>
      <c r="J1211" s="110">
        <f>J1210</f>
        <v>0</v>
      </c>
    </row>
    <row r="1212" spans="1:10" s="55" customFormat="1" ht="17.100000000000001" hidden="1" customHeight="1">
      <c r="A1212" s="50" t="e">
        <f t="shared" si="54"/>
        <v>#REF!</v>
      </c>
      <c r="B1212" s="51"/>
      <c r="C1212" s="51" t="s">
        <v>466</v>
      </c>
      <c r="D1212" s="52" t="s">
        <v>82</v>
      </c>
      <c r="E1212" s="112">
        <f>0.05</f>
        <v>0.05</v>
      </c>
      <c r="F1212" s="53">
        <f>VLKS!Q44</f>
        <v>1400000</v>
      </c>
      <c r="G1212" s="117">
        <f t="shared" ref="G1212:G1221" si="55">hsvl</f>
        <v>1</v>
      </c>
      <c r="H1212" s="54">
        <f t="shared" ref="H1212:H1221" si="56">ROUND(E1212*F1212*G1212,5)</f>
        <v>70000</v>
      </c>
      <c r="I1212" s="114"/>
      <c r="J1212" s="110">
        <f>J1210</f>
        <v>0</v>
      </c>
    </row>
    <row r="1213" spans="1:10" s="55" customFormat="1" ht="17.100000000000001" hidden="1" customHeight="1">
      <c r="A1213" s="50" t="e">
        <f t="shared" si="54"/>
        <v>#REF!</v>
      </c>
      <c r="B1213" s="51"/>
      <c r="C1213" s="51" t="s">
        <v>467</v>
      </c>
      <c r="D1213" s="52" t="s">
        <v>451</v>
      </c>
      <c r="E1213" s="112">
        <f>0.015</f>
        <v>1.4999999999999999E-2</v>
      </c>
      <c r="F1213" s="53">
        <f>VLKS!Q11</f>
        <v>1500000</v>
      </c>
      <c r="G1213" s="117">
        <f t="shared" si="55"/>
        <v>1</v>
      </c>
      <c r="H1213" s="54">
        <f t="shared" si="56"/>
        <v>22500</v>
      </c>
      <c r="I1213" s="114"/>
      <c r="J1213" s="110">
        <f>J1210</f>
        <v>0</v>
      </c>
    </row>
    <row r="1214" spans="1:10" s="55" customFormat="1" ht="17.100000000000001" hidden="1" customHeight="1">
      <c r="A1214" s="50" t="e">
        <f t="shared" si="54"/>
        <v>#REF!</v>
      </c>
      <c r="B1214" s="51"/>
      <c r="C1214" s="51" t="s">
        <v>449</v>
      </c>
      <c r="D1214" s="52" t="s">
        <v>129</v>
      </c>
      <c r="E1214" s="112">
        <f>0.054</f>
        <v>5.3999999999999999E-2</v>
      </c>
      <c r="F1214" s="53">
        <f>VLKS!Q24</f>
        <v>81818</v>
      </c>
      <c r="G1214" s="117">
        <f t="shared" si="55"/>
        <v>1</v>
      </c>
      <c r="H1214" s="54">
        <f t="shared" si="56"/>
        <v>4418.1719999999996</v>
      </c>
      <c r="I1214" s="114"/>
      <c r="J1214" s="110">
        <f>J1210</f>
        <v>0</v>
      </c>
    </row>
    <row r="1215" spans="1:10" s="55" customFormat="1" ht="17.100000000000001" hidden="1" customHeight="1">
      <c r="A1215" s="50" t="e">
        <f t="shared" si="54"/>
        <v>#REF!</v>
      </c>
      <c r="B1215" s="51"/>
      <c r="C1215" s="51" t="s">
        <v>462</v>
      </c>
      <c r="D1215" s="52" t="s">
        <v>451</v>
      </c>
      <c r="E1215" s="112">
        <f>0.018</f>
        <v>1.7999999999999999E-2</v>
      </c>
      <c r="F1215" s="53">
        <f>VLKS!Q62</f>
        <v>185000</v>
      </c>
      <c r="G1215" s="117">
        <f t="shared" si="55"/>
        <v>1</v>
      </c>
      <c r="H1215" s="54">
        <f t="shared" si="56"/>
        <v>3330</v>
      </c>
      <c r="I1215" s="114"/>
      <c r="J1215" s="110">
        <f>J1210</f>
        <v>0</v>
      </c>
    </row>
    <row r="1216" spans="1:10" s="55" customFormat="1" ht="17.100000000000001" hidden="1" customHeight="1">
      <c r="A1216" s="50" t="e">
        <f t="shared" si="54"/>
        <v>#REF!</v>
      </c>
      <c r="B1216" s="51"/>
      <c r="C1216" s="51" t="s">
        <v>452</v>
      </c>
      <c r="D1216" s="52" t="s">
        <v>129</v>
      </c>
      <c r="E1216" s="112">
        <f>0.05</f>
        <v>0.05</v>
      </c>
      <c r="F1216" s="53">
        <f>VLKS!Q65</f>
        <v>130000</v>
      </c>
      <c r="G1216" s="117">
        <f t="shared" si="55"/>
        <v>1</v>
      </c>
      <c r="H1216" s="54">
        <f t="shared" si="56"/>
        <v>6500</v>
      </c>
      <c r="I1216" s="114"/>
      <c r="J1216" s="110">
        <f>J1210</f>
        <v>0</v>
      </c>
    </row>
    <row r="1217" spans="1:10" s="55" customFormat="1" ht="17.100000000000001" hidden="1" customHeight="1">
      <c r="A1217" s="50" t="e">
        <f t="shared" si="54"/>
        <v>#REF!</v>
      </c>
      <c r="B1217" s="51"/>
      <c r="C1217" s="51" t="s">
        <v>453</v>
      </c>
      <c r="D1217" s="52" t="s">
        <v>82</v>
      </c>
      <c r="E1217" s="112">
        <f>0.017</f>
        <v>1.7000000000000001E-2</v>
      </c>
      <c r="F1217" s="53">
        <f>VLKS!Q63</f>
        <v>100000</v>
      </c>
      <c r="G1217" s="117">
        <f t="shared" si="55"/>
        <v>1</v>
      </c>
      <c r="H1217" s="54">
        <f t="shared" si="56"/>
        <v>1700</v>
      </c>
      <c r="I1217" s="114"/>
      <c r="J1217" s="110">
        <f>J1210</f>
        <v>0</v>
      </c>
    </row>
    <row r="1218" spans="1:10" s="55" customFormat="1" ht="17.100000000000001" hidden="1" customHeight="1">
      <c r="A1218" s="50" t="e">
        <f t="shared" si="54"/>
        <v>#REF!</v>
      </c>
      <c r="B1218" s="51"/>
      <c r="C1218" s="51" t="s">
        <v>463</v>
      </c>
      <c r="D1218" s="52" t="s">
        <v>129</v>
      </c>
      <c r="E1218" s="112">
        <f>0.04</f>
        <v>0.04</v>
      </c>
      <c r="F1218" s="53">
        <f>VLKS!Q69</f>
        <v>350000</v>
      </c>
      <c r="G1218" s="117">
        <f t="shared" si="55"/>
        <v>1</v>
      </c>
      <c r="H1218" s="54">
        <f t="shared" si="56"/>
        <v>14000</v>
      </c>
      <c r="I1218" s="114"/>
      <c r="J1218" s="110">
        <f>J1210</f>
        <v>0</v>
      </c>
    </row>
    <row r="1219" spans="1:10" s="55" customFormat="1" ht="17.100000000000001" hidden="1" customHeight="1">
      <c r="A1219" s="50" t="e">
        <f t="shared" si="54"/>
        <v>#REF!</v>
      </c>
      <c r="B1219" s="51"/>
      <c r="C1219" s="51" t="s">
        <v>464</v>
      </c>
      <c r="D1219" s="52" t="s">
        <v>82</v>
      </c>
      <c r="E1219" s="112">
        <f>0.002</f>
        <v>2E-3</v>
      </c>
      <c r="F1219" s="53">
        <f>VLKS!Q68</f>
        <v>910000</v>
      </c>
      <c r="G1219" s="117">
        <f t="shared" si="55"/>
        <v>1</v>
      </c>
      <c r="H1219" s="54">
        <f t="shared" si="56"/>
        <v>1820</v>
      </c>
      <c r="I1219" s="114"/>
      <c r="J1219" s="110">
        <f>J1210</f>
        <v>0</v>
      </c>
    </row>
    <row r="1220" spans="1:10" s="55" customFormat="1" ht="17.100000000000001" hidden="1" customHeight="1">
      <c r="A1220" s="50" t="e">
        <f t="shared" si="54"/>
        <v>#REF!</v>
      </c>
      <c r="B1220" s="51"/>
      <c r="C1220" s="51" t="s">
        <v>456</v>
      </c>
      <c r="D1220" s="52" t="s">
        <v>82</v>
      </c>
      <c r="E1220" s="112">
        <f>0.5</f>
        <v>0.5</v>
      </c>
      <c r="F1220" s="53">
        <f>VLKS!Q37</f>
        <v>100000</v>
      </c>
      <c r="G1220" s="117">
        <f t="shared" si="55"/>
        <v>1</v>
      </c>
      <c r="H1220" s="54">
        <f t="shared" si="56"/>
        <v>50000</v>
      </c>
      <c r="I1220" s="114"/>
      <c r="J1220" s="110">
        <f>J1210</f>
        <v>0</v>
      </c>
    </row>
    <row r="1221" spans="1:10" s="55" customFormat="1" ht="17.100000000000001" hidden="1" customHeight="1">
      <c r="A1221" s="50" t="e">
        <f t="shared" si="54"/>
        <v>#REF!</v>
      </c>
      <c r="B1221" s="51"/>
      <c r="C1221" s="51" t="s">
        <v>459</v>
      </c>
      <c r="D1221" s="52" t="s">
        <v>7</v>
      </c>
      <c r="E1221" s="112">
        <f>0.0035</f>
        <v>3.5000000000000001E-3</v>
      </c>
      <c r="F1221" s="53">
        <f>VLKS!Q34</f>
        <v>4090909</v>
      </c>
      <c r="G1221" s="117">
        <f t="shared" si="55"/>
        <v>1</v>
      </c>
      <c r="H1221" s="54">
        <f t="shared" si="56"/>
        <v>14318.181500000001</v>
      </c>
      <c r="I1221" s="114"/>
      <c r="J1221" s="110">
        <f>J1210</f>
        <v>0</v>
      </c>
    </row>
    <row r="1222" spans="1:10" s="55" customFormat="1" ht="17.100000000000001" hidden="1" customHeight="1">
      <c r="A1222" s="50" t="e">
        <f t="shared" si="54"/>
        <v>#REF!</v>
      </c>
      <c r="B1222" s="51"/>
      <c r="C1222" s="51" t="s">
        <v>127</v>
      </c>
      <c r="D1222" s="52" t="s">
        <v>126</v>
      </c>
      <c r="E1222" s="112">
        <f>10</f>
        <v>10</v>
      </c>
      <c r="F1222" s="53"/>
      <c r="G1222" s="117"/>
      <c r="H1222" s="54">
        <f>ROUND(SUM(H1212:H1221)*E1222/100,5)</f>
        <v>18858.63535</v>
      </c>
      <c r="I1222" s="114"/>
      <c r="J1222" s="110">
        <f>J1210</f>
        <v>0</v>
      </c>
    </row>
    <row r="1223" spans="1:10" s="55" customFormat="1" ht="17.100000000000001" hidden="1" customHeight="1">
      <c r="A1223" s="50" t="e">
        <f t="shared" si="54"/>
        <v>#REF!</v>
      </c>
      <c r="B1223" s="51"/>
      <c r="C1223" s="51" t="s">
        <v>125</v>
      </c>
      <c r="D1223" s="52" t="s">
        <v>0</v>
      </c>
      <c r="E1223" s="112"/>
      <c r="F1223" s="53"/>
      <c r="G1223" s="117"/>
      <c r="H1223" s="56" t="e">
        <f>ROUND(SUM(H1224:H1224),5)</f>
        <v>#REF!</v>
      </c>
      <c r="I1223" s="115"/>
      <c r="J1223" s="110">
        <f>J1210</f>
        <v>0</v>
      </c>
    </row>
    <row r="1224" spans="1:10" s="55" customFormat="1" ht="17.100000000000001" hidden="1" customHeight="1">
      <c r="A1224" s="50" t="e">
        <f t="shared" si="54"/>
        <v>#REF!</v>
      </c>
      <c r="B1224" s="51"/>
      <c r="C1224" s="51" t="s">
        <v>424</v>
      </c>
      <c r="D1224" s="52" t="s">
        <v>3</v>
      </c>
      <c r="E1224" s="112">
        <f>5.12</f>
        <v>5.12</v>
      </c>
      <c r="F1224" s="53" t="e">
        <f>'NC,M KS'!P6</f>
        <v>#REF!</v>
      </c>
      <c r="G1224" s="117">
        <f>hsnc</f>
        <v>1</v>
      </c>
      <c r="H1224" s="54" t="e">
        <f>ROUND(E1224*F1224*G1224,5)</f>
        <v>#REF!</v>
      </c>
      <c r="I1224" s="114"/>
      <c r="J1224" s="110">
        <f>J1210</f>
        <v>0</v>
      </c>
    </row>
    <row r="1225" spans="1:10" s="55" customFormat="1" ht="17.100000000000001" hidden="1" customHeight="1">
      <c r="A1225" s="50" t="e">
        <f t="shared" si="54"/>
        <v>#REF!</v>
      </c>
      <c r="B1225" s="51"/>
      <c r="C1225" s="51" t="s">
        <v>124</v>
      </c>
      <c r="D1225" s="52" t="s">
        <v>0</v>
      </c>
      <c r="E1225" s="112"/>
      <c r="F1225" s="53"/>
      <c r="G1225" s="117"/>
      <c r="H1225" s="56">
        <f>ROUND(SUM(H1226:H1227),5)</f>
        <v>29457.599999999999</v>
      </c>
      <c r="I1225" s="115"/>
      <c r="J1225" s="110">
        <f>J1210</f>
        <v>0</v>
      </c>
    </row>
    <row r="1226" spans="1:10" s="55" customFormat="1" ht="17.100000000000001" hidden="1" customHeight="1">
      <c r="A1226" s="50" t="e">
        <f t="shared" si="54"/>
        <v>#REF!</v>
      </c>
      <c r="B1226" s="51"/>
      <c r="C1226" s="51" t="s">
        <v>465</v>
      </c>
      <c r="D1226" s="52" t="s">
        <v>4</v>
      </c>
      <c r="E1226" s="112">
        <f>0.36</f>
        <v>0.36</v>
      </c>
      <c r="F1226" s="53">
        <f>'NC,M KS'!P23</f>
        <v>80222.222222222219</v>
      </c>
      <c r="G1226" s="117">
        <f>hsm</f>
        <v>1</v>
      </c>
      <c r="H1226" s="54">
        <f>ROUND(E1226*F1226*G1226,5)</f>
        <v>28880</v>
      </c>
      <c r="I1226" s="114"/>
      <c r="J1226" s="110">
        <f>J1210</f>
        <v>0</v>
      </c>
    </row>
    <row r="1227" spans="1:10" s="55" customFormat="1" ht="17.100000000000001" hidden="1" customHeight="1">
      <c r="A1227" s="50" t="e">
        <f t="shared" si="54"/>
        <v>#REF!</v>
      </c>
      <c r="B1227" s="51"/>
      <c r="C1227" s="51" t="s">
        <v>130</v>
      </c>
      <c r="D1227" s="52" t="s">
        <v>126</v>
      </c>
      <c r="E1227" s="112">
        <f>2</f>
        <v>2</v>
      </c>
      <c r="F1227" s="53"/>
      <c r="G1227" s="117"/>
      <c r="H1227" s="54">
        <f>ROUND(SUM(H1226:H1226)*E1227/100,5)</f>
        <v>577.6</v>
      </c>
      <c r="I1227" s="114"/>
      <c r="J1227" s="110">
        <f>J1210</f>
        <v>0</v>
      </c>
    </row>
    <row r="1228" spans="1:10" s="55" customFormat="1" ht="17.100000000000001" hidden="1" customHeight="1">
      <c r="A1228" s="50" t="e">
        <f t="shared" si="54"/>
        <v>#REF!</v>
      </c>
      <c r="B1228" s="51"/>
      <c r="C1228" s="170" t="s">
        <v>556</v>
      </c>
      <c r="D1228" s="171" t="s">
        <v>136</v>
      </c>
      <c r="E1228" s="172" t="s">
        <v>205</v>
      </c>
      <c r="F1228" s="53"/>
      <c r="G1228" s="117"/>
      <c r="H1228" s="173" t="e">
        <f>ROUND(H1211+H1223+H1225,5)</f>
        <v>#REF!</v>
      </c>
      <c r="I1228" s="114"/>
      <c r="J1228" s="110">
        <f>J1210</f>
        <v>0</v>
      </c>
    </row>
    <row r="1229" spans="1:10" s="55" customFormat="1" ht="17.100000000000001" hidden="1" customHeight="1">
      <c r="A1229" s="50" t="e">
        <f t="shared" si="54"/>
        <v>#REF!</v>
      </c>
      <c r="B1229" s="51"/>
      <c r="C1229" s="170" t="s">
        <v>557</v>
      </c>
      <c r="D1229" s="171" t="s">
        <v>204</v>
      </c>
      <c r="E1229" s="172" t="s">
        <v>558</v>
      </c>
      <c r="F1229" s="53"/>
      <c r="G1229" s="117"/>
      <c r="H1229" s="173" t="e">
        <f>SUM(H1230:H1231)</f>
        <v>#REF!</v>
      </c>
      <c r="I1229" s="114"/>
      <c r="J1229" s="110">
        <f>J1210</f>
        <v>0</v>
      </c>
    </row>
    <row r="1230" spans="1:10" s="55" customFormat="1" ht="17.100000000000001" hidden="1" customHeight="1">
      <c r="A1230" s="50" t="e">
        <f t="shared" si="54"/>
        <v>#REF!</v>
      </c>
      <c r="B1230" s="51"/>
      <c r="C1230" s="51" t="s">
        <v>426</v>
      </c>
      <c r="D1230" s="52" t="s">
        <v>559</v>
      </c>
      <c r="E1230" s="116">
        <f>cpc</f>
        <v>0.7</v>
      </c>
      <c r="F1230" s="174"/>
      <c r="G1230" s="175"/>
      <c r="H1230" s="54" t="e">
        <f>E1230*H1223</f>
        <v>#REF!</v>
      </c>
      <c r="I1230" s="114"/>
      <c r="J1230" s="715">
        <f>J1210</f>
        <v>0</v>
      </c>
    </row>
    <row r="1231" spans="1:10" s="55" customFormat="1" ht="17.100000000000001" hidden="1" customHeight="1">
      <c r="A1231" s="50" t="e">
        <f t="shared" si="54"/>
        <v>#REF!</v>
      </c>
      <c r="B1231" s="51"/>
      <c r="C1231" s="78" t="s">
        <v>560</v>
      </c>
      <c r="D1231" s="79" t="s">
        <v>561</v>
      </c>
      <c r="E1231" s="176">
        <f>hmc</f>
        <v>0.05</v>
      </c>
      <c r="F1231" s="53"/>
      <c r="G1231" s="113"/>
      <c r="H1231" s="54" t="e">
        <f>E1231*H1228</f>
        <v>#REF!</v>
      </c>
      <c r="I1231" s="114"/>
      <c r="J1231" s="715">
        <f>J1210</f>
        <v>0</v>
      </c>
    </row>
    <row r="1232" spans="1:10" s="55" customFormat="1" ht="17.100000000000001" hidden="1" customHeight="1">
      <c r="A1232" s="50" t="e">
        <f t="shared" si="54"/>
        <v>#REF!</v>
      </c>
      <c r="B1232" s="51"/>
      <c r="C1232" s="170" t="s">
        <v>562</v>
      </c>
      <c r="D1232" s="171" t="s">
        <v>563</v>
      </c>
      <c r="E1232" s="179">
        <f>tn</f>
        <v>0.06</v>
      </c>
      <c r="F1232" s="177"/>
      <c r="G1232" s="178"/>
      <c r="H1232" s="181" t="e">
        <f>SUM(H1228:H1229)*E1232</f>
        <v>#REF!</v>
      </c>
      <c r="I1232" s="114"/>
      <c r="J1232" s="715">
        <f>J1210</f>
        <v>0</v>
      </c>
    </row>
    <row r="1233" spans="1:10" s="55" customFormat="1" ht="17.100000000000001" hidden="1" customHeight="1">
      <c r="A1233" s="50" t="e">
        <f t="shared" si="54"/>
        <v>#REF!</v>
      </c>
      <c r="B1233" s="51"/>
      <c r="C1233" s="92" t="s">
        <v>1879</v>
      </c>
      <c r="D1233" s="171" t="s">
        <v>227</v>
      </c>
      <c r="E1233" s="180" t="s">
        <v>564</v>
      </c>
      <c r="F1233" s="174"/>
      <c r="G1233" s="175"/>
      <c r="H1233" s="173" t="e">
        <f>SUM(H1234:H1235)</f>
        <v>#REF!</v>
      </c>
      <c r="I1233" s="114"/>
      <c r="J1233" s="715">
        <f>J1210</f>
        <v>0</v>
      </c>
    </row>
    <row r="1234" spans="1:10" s="55" customFormat="1" ht="17.100000000000001" hidden="1" customHeight="1">
      <c r="A1234" s="50" t="e">
        <f t="shared" si="54"/>
        <v>#REF!</v>
      </c>
      <c r="B1234" s="51"/>
      <c r="C1234" s="51" t="s">
        <v>427</v>
      </c>
      <c r="D1234" s="52" t="s">
        <v>428</v>
      </c>
      <c r="E1234" s="1093">
        <f>paks</f>
        <v>0</v>
      </c>
      <c r="F1234" s="174"/>
      <c r="G1234" s="175"/>
      <c r="H1234" s="54" t="e">
        <f>(H1228+H1229+H1232)*E1234</f>
        <v>#REF!</v>
      </c>
      <c r="I1234" s="114"/>
      <c r="J1234" s="715">
        <f>J1210</f>
        <v>0</v>
      </c>
    </row>
    <row r="1235" spans="1:10" s="55" customFormat="1" ht="17.100000000000001" hidden="1" customHeight="1">
      <c r="A1235" s="50" t="e">
        <f t="shared" si="54"/>
        <v>#REF!</v>
      </c>
      <c r="B1235" s="51"/>
      <c r="C1235" s="51" t="s">
        <v>429</v>
      </c>
      <c r="D1235" s="52" t="s">
        <v>430</v>
      </c>
      <c r="E1235" s="1093">
        <f>bcks</f>
        <v>0.03</v>
      </c>
      <c r="F1235" s="53"/>
      <c r="G1235" s="113"/>
      <c r="H1235" s="54" t="e">
        <f>(H1228+H1229+H1232)*E1235</f>
        <v>#REF!</v>
      </c>
      <c r="I1235" s="114"/>
      <c r="J1235" s="715">
        <f>J1210</f>
        <v>0</v>
      </c>
    </row>
    <row r="1236" spans="1:10" s="55" customFormat="1" ht="17.100000000000001" hidden="1" customHeight="1">
      <c r="A1236" s="50" t="e">
        <f t="shared" si="54"/>
        <v>#REF!</v>
      </c>
      <c r="B1236" s="51"/>
      <c r="C1236" s="170" t="s">
        <v>565</v>
      </c>
      <c r="D1236" s="171" t="s">
        <v>218</v>
      </c>
      <c r="E1236" s="172" t="s">
        <v>566</v>
      </c>
      <c r="F1236" s="53"/>
      <c r="G1236" s="113"/>
      <c r="H1236" s="173" t="e">
        <f>H1228+H1229+H1232+H1233</f>
        <v>#REF!</v>
      </c>
      <c r="I1236" s="114"/>
      <c r="J1236" s="715">
        <f>J1210</f>
        <v>0</v>
      </c>
    </row>
    <row r="1237" spans="1:10" s="55" customFormat="1" ht="17.100000000000001" hidden="1" customHeight="1">
      <c r="A1237" s="50" t="e">
        <f t="shared" si="54"/>
        <v>#REF!</v>
      </c>
      <c r="B1237" s="51"/>
      <c r="C1237" s="51" t="s">
        <v>567</v>
      </c>
      <c r="D1237" s="52" t="s">
        <v>222</v>
      </c>
      <c r="E1237" s="112" t="s">
        <v>1917</v>
      </c>
      <c r="F1237" s="174"/>
      <c r="G1237" s="175"/>
      <c r="H1237" s="54" t="e">
        <f>ROUND(H1236*10/100,5)</f>
        <v>#REF!</v>
      </c>
      <c r="I1237" s="114"/>
      <c r="J1237" s="715">
        <f>J1210</f>
        <v>0</v>
      </c>
    </row>
    <row r="1238" spans="1:10" s="55" customFormat="1" ht="17.100000000000001" hidden="1" customHeight="1">
      <c r="A1238" s="50" t="e">
        <f t="shared" si="54"/>
        <v>#REF!</v>
      </c>
      <c r="B1238" s="51"/>
      <c r="C1238" s="170" t="s">
        <v>568</v>
      </c>
      <c r="D1238" s="171" t="s">
        <v>225</v>
      </c>
      <c r="E1238" s="172" t="s">
        <v>192</v>
      </c>
      <c r="F1238" s="53"/>
      <c r="G1238" s="117"/>
      <c r="H1238" s="56" t="e">
        <f>ROUND(H1236+H1237,5)</f>
        <v>#REF!</v>
      </c>
      <c r="I1238" s="115"/>
      <c r="J1238" s="715">
        <f>J1210</f>
        <v>0</v>
      </c>
    </row>
    <row r="1239" spans="1:10" s="263" customFormat="1" ht="17.100000000000001" hidden="1" customHeight="1">
      <c r="A1239" s="264" t="e">
        <f t="shared" si="54"/>
        <v>#REF!</v>
      </c>
      <c r="B1239" s="265" t="s">
        <v>393</v>
      </c>
      <c r="C1239" s="265" t="s">
        <v>394</v>
      </c>
      <c r="D1239" s="266" t="s">
        <v>395</v>
      </c>
      <c r="E1239" s="270"/>
      <c r="F1239" s="267"/>
      <c r="G1239" s="271"/>
      <c r="H1239" s="268" t="e">
        <f>H1260</f>
        <v>#REF!</v>
      </c>
      <c r="I1239" s="272"/>
      <c r="J1239" s="273" t="e">
        <f>IF(SUMIF(Khaosat!$B$6:$B$47,'PT giaKS'!B1239,Khaosat!$I$6:$I$47)&lt;&gt;0,$J$6,0)</f>
        <v>#REF!</v>
      </c>
    </row>
    <row r="1240" spans="1:10" s="55" customFormat="1" ht="17.100000000000001" hidden="1" customHeight="1">
      <c r="A1240" s="50" t="e">
        <f t="shared" si="54"/>
        <v>#REF!</v>
      </c>
      <c r="B1240" s="51"/>
      <c r="C1240" s="51" t="s">
        <v>128</v>
      </c>
      <c r="D1240" s="52" t="s">
        <v>0</v>
      </c>
      <c r="E1240" s="112"/>
      <c r="F1240" s="53"/>
      <c r="G1240" s="117"/>
      <c r="H1240" s="56">
        <f>ROUND(SUM(H1241:H1245),5)</f>
        <v>59151.813999999998</v>
      </c>
      <c r="I1240" s="115"/>
      <c r="J1240" s="110" t="e">
        <f>J1239</f>
        <v>#REF!</v>
      </c>
    </row>
    <row r="1241" spans="1:10" s="55" customFormat="1" ht="17.100000000000001" hidden="1" customHeight="1">
      <c r="A1241" s="50" t="e">
        <f t="shared" si="54"/>
        <v>#REF!</v>
      </c>
      <c r="B1241" s="51"/>
      <c r="C1241" s="51" t="s">
        <v>469</v>
      </c>
      <c r="D1241" s="52" t="s">
        <v>82</v>
      </c>
      <c r="E1241" s="112">
        <f>0.1</f>
        <v>0.1</v>
      </c>
      <c r="F1241" s="53">
        <f>VLKS!Q45</f>
        <v>350000</v>
      </c>
      <c r="G1241" s="117">
        <f>hsvl</f>
        <v>1</v>
      </c>
      <c r="H1241" s="54">
        <f>ROUND(E1241*F1241*G1241,5)</f>
        <v>35000</v>
      </c>
      <c r="I1241" s="114"/>
      <c r="J1241" s="110" t="e">
        <f>J1239</f>
        <v>#REF!</v>
      </c>
    </row>
    <row r="1242" spans="1:10" s="55" customFormat="1" ht="17.100000000000001" hidden="1" customHeight="1">
      <c r="A1242" s="50" t="e">
        <f t="shared" si="54"/>
        <v>#REF!</v>
      </c>
      <c r="B1242" s="51"/>
      <c r="C1242" s="51" t="s">
        <v>470</v>
      </c>
      <c r="D1242" s="52" t="s">
        <v>471</v>
      </c>
      <c r="E1242" s="112">
        <f>0.04</f>
        <v>0.04</v>
      </c>
      <c r="F1242" s="53">
        <f>VLKS!Q67</f>
        <v>350000</v>
      </c>
      <c r="G1242" s="117">
        <f>hsvl</f>
        <v>1</v>
      </c>
      <c r="H1242" s="54">
        <f>ROUND(E1242*F1242*G1242,5)</f>
        <v>14000</v>
      </c>
      <c r="I1242" s="114"/>
      <c r="J1242" s="110" t="e">
        <f>J1239</f>
        <v>#REF!</v>
      </c>
    </row>
    <row r="1243" spans="1:10" s="55" customFormat="1" ht="17.100000000000001" hidden="1" customHeight="1">
      <c r="A1243" s="50" t="e">
        <f t="shared" si="54"/>
        <v>#REF!</v>
      </c>
      <c r="B1243" s="51"/>
      <c r="C1243" s="51" t="s">
        <v>449</v>
      </c>
      <c r="D1243" s="52" t="s">
        <v>129</v>
      </c>
      <c r="E1243" s="112">
        <f>0.02</f>
        <v>0.02</v>
      </c>
      <c r="F1243" s="53">
        <f>VLKS!Q24</f>
        <v>81818</v>
      </c>
      <c r="G1243" s="117">
        <f>hsvl</f>
        <v>1</v>
      </c>
      <c r="H1243" s="54">
        <f>ROUND(E1243*F1243*G1243,5)</f>
        <v>1636.36</v>
      </c>
      <c r="I1243" s="114"/>
      <c r="J1243" s="110" t="e">
        <f>J1239</f>
        <v>#REF!</v>
      </c>
    </row>
    <row r="1244" spans="1:10" s="55" customFormat="1" ht="17.100000000000001" hidden="1" customHeight="1">
      <c r="A1244" s="50" t="e">
        <f t="shared" si="54"/>
        <v>#REF!</v>
      </c>
      <c r="B1244" s="51"/>
      <c r="C1244" s="51" t="s">
        <v>472</v>
      </c>
      <c r="D1244" s="52" t="s">
        <v>473</v>
      </c>
      <c r="E1244" s="112">
        <f>0.04</f>
        <v>0.04</v>
      </c>
      <c r="F1244" s="53">
        <f>VLKS!Q35</f>
        <v>20000</v>
      </c>
      <c r="G1244" s="117">
        <f>hsvl</f>
        <v>1</v>
      </c>
      <c r="H1244" s="54">
        <f>ROUND(E1244*F1244*G1244,5)</f>
        <v>800</v>
      </c>
      <c r="I1244" s="114"/>
      <c r="J1244" s="110" t="e">
        <f>J1239</f>
        <v>#REF!</v>
      </c>
    </row>
    <row r="1245" spans="1:10" s="55" customFormat="1" ht="17.100000000000001" hidden="1" customHeight="1">
      <c r="A1245" s="50" t="e">
        <f t="shared" si="54"/>
        <v>#REF!</v>
      </c>
      <c r="B1245" s="51"/>
      <c r="C1245" s="51" t="s">
        <v>127</v>
      </c>
      <c r="D1245" s="52" t="s">
        <v>126</v>
      </c>
      <c r="E1245" s="112">
        <f>15</f>
        <v>15</v>
      </c>
      <c r="F1245" s="53"/>
      <c r="G1245" s="117"/>
      <c r="H1245" s="54">
        <f>ROUND(SUM(H1241:H1244)*E1245/100,5)</f>
        <v>7715.4539999999997</v>
      </c>
      <c r="I1245" s="114"/>
      <c r="J1245" s="110" t="e">
        <f>J1239</f>
        <v>#REF!</v>
      </c>
    </row>
    <row r="1246" spans="1:10" s="55" customFormat="1" ht="17.100000000000001" hidden="1" customHeight="1">
      <c r="A1246" s="50" t="e">
        <f t="shared" si="54"/>
        <v>#REF!</v>
      </c>
      <c r="B1246" s="51"/>
      <c r="C1246" s="51" t="s">
        <v>125</v>
      </c>
      <c r="D1246" s="52" t="s">
        <v>0</v>
      </c>
      <c r="E1246" s="112"/>
      <c r="F1246" s="53"/>
      <c r="G1246" s="117"/>
      <c r="H1246" s="56" t="e">
        <f>ROUND(SUM(H1247:H1247),5)</f>
        <v>#REF!</v>
      </c>
      <c r="I1246" s="115"/>
      <c r="J1246" s="110" t="e">
        <f>J1239</f>
        <v>#REF!</v>
      </c>
    </row>
    <row r="1247" spans="1:10" s="55" customFormat="1" ht="17.100000000000001" hidden="1" customHeight="1">
      <c r="A1247" s="50" t="e">
        <f t="shared" si="54"/>
        <v>#REF!</v>
      </c>
      <c r="B1247" s="51"/>
      <c r="C1247" s="51" t="s">
        <v>424</v>
      </c>
      <c r="D1247" s="52" t="s">
        <v>3</v>
      </c>
      <c r="E1247" s="112">
        <f>0.75</f>
        <v>0.75</v>
      </c>
      <c r="F1247" s="53" t="e">
        <f>'NC,M KS'!P6</f>
        <v>#REF!</v>
      </c>
      <c r="G1247" s="117">
        <f>hsnc</f>
        <v>1</v>
      </c>
      <c r="H1247" s="54" t="e">
        <f>ROUND(E1247*F1247*G1247,5)</f>
        <v>#REF!</v>
      </c>
      <c r="I1247" s="114"/>
      <c r="J1247" s="110" t="e">
        <f>J1239</f>
        <v>#REF!</v>
      </c>
    </row>
    <row r="1248" spans="1:10" s="55" customFormat="1" ht="17.100000000000001" hidden="1" customHeight="1">
      <c r="A1248" s="50" t="e">
        <f t="shared" si="54"/>
        <v>#REF!</v>
      </c>
      <c r="B1248" s="51"/>
      <c r="C1248" s="51" t="s">
        <v>124</v>
      </c>
      <c r="D1248" s="52" t="s">
        <v>0</v>
      </c>
      <c r="E1248" s="112"/>
      <c r="F1248" s="53"/>
      <c r="G1248" s="117"/>
      <c r="H1248" s="56">
        <f>ROUND(SUM(H1249:H1249),5)</f>
        <v>1107.6361099999999</v>
      </c>
      <c r="I1248" s="115"/>
      <c r="J1248" s="110" t="e">
        <f>J1239</f>
        <v>#REF!</v>
      </c>
    </row>
    <row r="1249" spans="1:10" s="55" customFormat="1" ht="17.100000000000001" hidden="1" customHeight="1">
      <c r="A1249" s="50" t="e">
        <f t="shared" si="54"/>
        <v>#REF!</v>
      </c>
      <c r="B1249" s="51"/>
      <c r="C1249" s="51" t="s">
        <v>474</v>
      </c>
      <c r="D1249" s="52" t="s">
        <v>4</v>
      </c>
      <c r="E1249" s="112">
        <f>0.1</f>
        <v>0.1</v>
      </c>
      <c r="F1249" s="53">
        <f>'NC,M KS'!P8</f>
        <v>11076.361111111111</v>
      </c>
      <c r="G1249" s="117">
        <f>hsm</f>
        <v>1</v>
      </c>
      <c r="H1249" s="54">
        <f>ROUND(E1249*F1249*G1249,5)</f>
        <v>1107.6361099999999</v>
      </c>
      <c r="I1249" s="114"/>
      <c r="J1249" s="110" t="e">
        <f>J1239</f>
        <v>#REF!</v>
      </c>
    </row>
    <row r="1250" spans="1:10" s="55" customFormat="1" ht="17.100000000000001" hidden="1" customHeight="1">
      <c r="A1250" s="50" t="e">
        <f t="shared" si="54"/>
        <v>#REF!</v>
      </c>
      <c r="B1250" s="51"/>
      <c r="C1250" s="170" t="s">
        <v>556</v>
      </c>
      <c r="D1250" s="171" t="s">
        <v>136</v>
      </c>
      <c r="E1250" s="172" t="s">
        <v>205</v>
      </c>
      <c r="F1250" s="53"/>
      <c r="G1250" s="117"/>
      <c r="H1250" s="173" t="e">
        <f>ROUND(H1240+H1246+H1248,5)</f>
        <v>#REF!</v>
      </c>
      <c r="I1250" s="114"/>
      <c r="J1250" s="110" t="e">
        <f>J1239</f>
        <v>#REF!</v>
      </c>
    </row>
    <row r="1251" spans="1:10" s="55" customFormat="1" ht="17.100000000000001" hidden="1" customHeight="1">
      <c r="A1251" s="50" t="e">
        <f t="shared" si="54"/>
        <v>#REF!</v>
      </c>
      <c r="B1251" s="51"/>
      <c r="C1251" s="170" t="s">
        <v>557</v>
      </c>
      <c r="D1251" s="171" t="s">
        <v>204</v>
      </c>
      <c r="E1251" s="172" t="s">
        <v>558</v>
      </c>
      <c r="F1251" s="53"/>
      <c r="G1251" s="117"/>
      <c r="H1251" s="173" t="e">
        <f>SUM(H1252:H1253)</f>
        <v>#REF!</v>
      </c>
      <c r="I1251" s="114"/>
      <c r="J1251" s="110" t="e">
        <f>J1239</f>
        <v>#REF!</v>
      </c>
    </row>
    <row r="1252" spans="1:10" s="55" customFormat="1" ht="17.100000000000001" hidden="1" customHeight="1">
      <c r="A1252" s="50" t="e">
        <f t="shared" si="54"/>
        <v>#REF!</v>
      </c>
      <c r="B1252" s="51"/>
      <c r="C1252" s="51" t="s">
        <v>426</v>
      </c>
      <c r="D1252" s="52" t="s">
        <v>559</v>
      </c>
      <c r="E1252" s="116">
        <f>cpc</f>
        <v>0.7</v>
      </c>
      <c r="F1252" s="174"/>
      <c r="G1252" s="175"/>
      <c r="H1252" s="54" t="e">
        <f>E1252*H1246</f>
        <v>#REF!</v>
      </c>
      <c r="I1252" s="114"/>
      <c r="J1252" s="110" t="e">
        <f>J1239</f>
        <v>#REF!</v>
      </c>
    </row>
    <row r="1253" spans="1:10" s="55" customFormat="1" ht="17.100000000000001" hidden="1" customHeight="1">
      <c r="A1253" s="50" t="e">
        <f t="shared" si="54"/>
        <v>#REF!</v>
      </c>
      <c r="B1253" s="51"/>
      <c r="C1253" s="78" t="s">
        <v>560</v>
      </c>
      <c r="D1253" s="79" t="s">
        <v>561</v>
      </c>
      <c r="E1253" s="176">
        <f>hmc</f>
        <v>0.05</v>
      </c>
      <c r="F1253" s="53"/>
      <c r="G1253" s="113"/>
      <c r="H1253" s="54" t="e">
        <f>E1253*H1250</f>
        <v>#REF!</v>
      </c>
      <c r="I1253" s="114"/>
      <c r="J1253" s="110" t="e">
        <f>J1239</f>
        <v>#REF!</v>
      </c>
    </row>
    <row r="1254" spans="1:10" s="55" customFormat="1" ht="17.100000000000001" hidden="1" customHeight="1">
      <c r="A1254" s="50" t="e">
        <f t="shared" si="54"/>
        <v>#REF!</v>
      </c>
      <c r="B1254" s="51"/>
      <c r="C1254" s="170" t="s">
        <v>562</v>
      </c>
      <c r="D1254" s="171" t="s">
        <v>563</v>
      </c>
      <c r="E1254" s="179">
        <f>tn</f>
        <v>0.06</v>
      </c>
      <c r="F1254" s="177"/>
      <c r="G1254" s="178"/>
      <c r="H1254" s="181" t="e">
        <f>SUM(H1250:H1251)*E1254</f>
        <v>#REF!</v>
      </c>
      <c r="I1254" s="114"/>
      <c r="J1254" s="110" t="e">
        <f>J1239</f>
        <v>#REF!</v>
      </c>
    </row>
    <row r="1255" spans="1:10" s="55" customFormat="1" ht="17.100000000000001" hidden="1" customHeight="1">
      <c r="A1255" s="50" t="e">
        <f t="shared" si="54"/>
        <v>#REF!</v>
      </c>
      <c r="B1255" s="51"/>
      <c r="C1255" s="92" t="s">
        <v>1879</v>
      </c>
      <c r="D1255" s="171" t="s">
        <v>227</v>
      </c>
      <c r="E1255" s="180" t="s">
        <v>564</v>
      </c>
      <c r="F1255" s="174"/>
      <c r="G1255" s="175"/>
      <c r="H1255" s="173" t="e">
        <f>SUM(H1256:H1257)</f>
        <v>#REF!</v>
      </c>
      <c r="I1255" s="114"/>
      <c r="J1255" s="110" t="e">
        <f>J1239</f>
        <v>#REF!</v>
      </c>
    </row>
    <row r="1256" spans="1:10" s="55" customFormat="1" ht="17.100000000000001" hidden="1" customHeight="1">
      <c r="A1256" s="50" t="e">
        <f t="shared" si="54"/>
        <v>#REF!</v>
      </c>
      <c r="B1256" s="51"/>
      <c r="C1256" s="51" t="s">
        <v>427</v>
      </c>
      <c r="D1256" s="52" t="s">
        <v>428</v>
      </c>
      <c r="E1256" s="1093">
        <f>paks</f>
        <v>0</v>
      </c>
      <c r="F1256" s="174"/>
      <c r="G1256" s="175"/>
      <c r="H1256" s="54" t="e">
        <f>(H1250+H1251+H1254)*E1256</f>
        <v>#REF!</v>
      </c>
      <c r="I1256" s="114"/>
      <c r="J1256" s="110" t="e">
        <f>J1239</f>
        <v>#REF!</v>
      </c>
    </row>
    <row r="1257" spans="1:10" s="55" customFormat="1" ht="17.100000000000001" hidden="1" customHeight="1">
      <c r="A1257" s="50" t="e">
        <f t="shared" si="54"/>
        <v>#REF!</v>
      </c>
      <c r="B1257" s="51"/>
      <c r="C1257" s="51" t="s">
        <v>429</v>
      </c>
      <c r="D1257" s="52" t="s">
        <v>430</v>
      </c>
      <c r="E1257" s="1093">
        <f>bcks</f>
        <v>0.03</v>
      </c>
      <c r="F1257" s="53"/>
      <c r="G1257" s="113"/>
      <c r="H1257" s="54" t="e">
        <f>(H1250+H1251+H1254)*E1257</f>
        <v>#REF!</v>
      </c>
      <c r="I1257" s="114"/>
      <c r="J1257" s="110" t="e">
        <f>J1239</f>
        <v>#REF!</v>
      </c>
    </row>
    <row r="1258" spans="1:10" s="55" customFormat="1" ht="17.100000000000001" hidden="1" customHeight="1">
      <c r="A1258" s="50" t="e">
        <f t="shared" si="54"/>
        <v>#REF!</v>
      </c>
      <c r="B1258" s="51"/>
      <c r="C1258" s="170" t="s">
        <v>565</v>
      </c>
      <c r="D1258" s="171" t="s">
        <v>218</v>
      </c>
      <c r="E1258" s="172" t="s">
        <v>566</v>
      </c>
      <c r="F1258" s="53"/>
      <c r="G1258" s="113"/>
      <c r="H1258" s="173" t="e">
        <f>H1250+H1251+H1254+H1255</f>
        <v>#REF!</v>
      </c>
      <c r="I1258" s="114"/>
      <c r="J1258" s="110" t="e">
        <f>J1239</f>
        <v>#REF!</v>
      </c>
    </row>
    <row r="1259" spans="1:10" s="55" customFormat="1" ht="17.100000000000001" hidden="1" customHeight="1">
      <c r="A1259" s="50" t="e">
        <f t="shared" si="54"/>
        <v>#REF!</v>
      </c>
      <c r="B1259" s="51"/>
      <c r="C1259" s="51" t="s">
        <v>567</v>
      </c>
      <c r="D1259" s="52" t="s">
        <v>222</v>
      </c>
      <c r="E1259" s="112" t="s">
        <v>1917</v>
      </c>
      <c r="F1259" s="174"/>
      <c r="G1259" s="175"/>
      <c r="H1259" s="54" t="e">
        <f>ROUND(H1258*10/100,5)</f>
        <v>#REF!</v>
      </c>
      <c r="I1259" s="114"/>
      <c r="J1259" s="110" t="e">
        <f>J1239</f>
        <v>#REF!</v>
      </c>
    </row>
    <row r="1260" spans="1:10" s="55" customFormat="1" ht="17.100000000000001" hidden="1" customHeight="1">
      <c r="A1260" s="50" t="e">
        <f t="shared" si="54"/>
        <v>#REF!</v>
      </c>
      <c r="B1260" s="51"/>
      <c r="C1260" s="170" t="s">
        <v>568</v>
      </c>
      <c r="D1260" s="171" t="s">
        <v>225</v>
      </c>
      <c r="E1260" s="172" t="s">
        <v>192</v>
      </c>
      <c r="F1260" s="53"/>
      <c r="G1260" s="117"/>
      <c r="H1260" s="56" t="e">
        <f>ROUND(H1258+H1259,5)</f>
        <v>#REF!</v>
      </c>
      <c r="I1260" s="115"/>
      <c r="J1260" s="715" t="e">
        <f>J1239</f>
        <v>#REF!</v>
      </c>
    </row>
    <row r="1261" spans="1:10" s="263" customFormat="1" ht="17.100000000000001" hidden="1" customHeight="1">
      <c r="A1261" s="264" t="e">
        <f t="shared" si="54"/>
        <v>#REF!</v>
      </c>
      <c r="B1261" s="265" t="s">
        <v>396</v>
      </c>
      <c r="C1261" s="265" t="s">
        <v>397</v>
      </c>
      <c r="D1261" s="266" t="s">
        <v>395</v>
      </c>
      <c r="E1261" s="270"/>
      <c r="F1261" s="267"/>
      <c r="G1261" s="271"/>
      <c r="H1261" s="268" t="e">
        <f>H1282</f>
        <v>#REF!</v>
      </c>
      <c r="I1261" s="272"/>
      <c r="J1261" s="273" t="e">
        <f>IF(SUMIF(Khaosat!$B$6:$B$47,'PT giaKS'!B1261,Khaosat!$I$6:$I$47)&lt;&gt;0,$J$6,0)</f>
        <v>#REF!</v>
      </c>
    </row>
    <row r="1262" spans="1:10" s="55" customFormat="1" ht="17.100000000000001" hidden="1" customHeight="1">
      <c r="A1262" s="50" t="e">
        <f t="shared" si="54"/>
        <v>#REF!</v>
      </c>
      <c r="B1262" s="51"/>
      <c r="C1262" s="51" t="s">
        <v>128</v>
      </c>
      <c r="D1262" s="52" t="s">
        <v>0</v>
      </c>
      <c r="E1262" s="112"/>
      <c r="F1262" s="53"/>
      <c r="G1262" s="117"/>
      <c r="H1262" s="56">
        <f>ROUND(SUM(H1263:H1267),5)</f>
        <v>35942.720999999998</v>
      </c>
      <c r="I1262" s="115"/>
      <c r="J1262" s="110" t="e">
        <f>J1261</f>
        <v>#REF!</v>
      </c>
    </row>
    <row r="1263" spans="1:10" s="55" customFormat="1" ht="17.100000000000001" hidden="1" customHeight="1">
      <c r="A1263" s="50" t="e">
        <f t="shared" si="54"/>
        <v>#REF!</v>
      </c>
      <c r="B1263" s="51"/>
      <c r="C1263" s="51" t="s">
        <v>475</v>
      </c>
      <c r="D1263" s="52" t="s">
        <v>82</v>
      </c>
      <c r="E1263" s="112">
        <f>0.04</f>
        <v>0.04</v>
      </c>
      <c r="F1263" s="53">
        <f>VLKS!Q46</f>
        <v>350000</v>
      </c>
      <c r="G1263" s="117">
        <f>hsvl</f>
        <v>1</v>
      </c>
      <c r="H1263" s="54">
        <f>ROUND(E1263*F1263*G1263,5)</f>
        <v>14000</v>
      </c>
      <c r="I1263" s="114"/>
      <c r="J1263" s="110" t="e">
        <f>J1261</f>
        <v>#REF!</v>
      </c>
    </row>
    <row r="1264" spans="1:10" s="55" customFormat="1" ht="17.100000000000001" hidden="1" customHeight="1">
      <c r="A1264" s="50" t="e">
        <f t="shared" ref="A1264:A1327" si="57">IF(B1264&lt;&gt;0,A1263+J1264,A1263)</f>
        <v>#REF!</v>
      </c>
      <c r="B1264" s="51"/>
      <c r="C1264" s="51" t="s">
        <v>470</v>
      </c>
      <c r="D1264" s="52" t="s">
        <v>471</v>
      </c>
      <c r="E1264" s="112">
        <f>0.04</f>
        <v>0.04</v>
      </c>
      <c r="F1264" s="53">
        <f>VLKS!Q67</f>
        <v>350000</v>
      </c>
      <c r="G1264" s="117">
        <f>hsvl</f>
        <v>1</v>
      </c>
      <c r="H1264" s="54">
        <f>ROUND(E1264*F1264*G1264,5)</f>
        <v>14000</v>
      </c>
      <c r="I1264" s="114"/>
      <c r="J1264" s="110" t="e">
        <f>J1261</f>
        <v>#REF!</v>
      </c>
    </row>
    <row r="1265" spans="1:10" s="55" customFormat="1" ht="17.100000000000001" hidden="1" customHeight="1">
      <c r="A1265" s="50" t="e">
        <f t="shared" si="57"/>
        <v>#REF!</v>
      </c>
      <c r="B1265" s="51"/>
      <c r="C1265" s="51" t="s">
        <v>449</v>
      </c>
      <c r="D1265" s="52" t="s">
        <v>129</v>
      </c>
      <c r="E1265" s="112">
        <f>0.03</f>
        <v>0.03</v>
      </c>
      <c r="F1265" s="53">
        <f>VLKS!Q24</f>
        <v>81818</v>
      </c>
      <c r="G1265" s="117">
        <f>hsvl</f>
        <v>1</v>
      </c>
      <c r="H1265" s="54">
        <f>ROUND(E1265*F1265*G1265,5)</f>
        <v>2454.54</v>
      </c>
      <c r="I1265" s="114"/>
      <c r="J1265" s="110" t="e">
        <f>J1261</f>
        <v>#REF!</v>
      </c>
    </row>
    <row r="1266" spans="1:10" s="55" customFormat="1" ht="17.100000000000001" hidden="1" customHeight="1">
      <c r="A1266" s="50" t="e">
        <f t="shared" si="57"/>
        <v>#REF!</v>
      </c>
      <c r="B1266" s="51"/>
      <c r="C1266" s="51" t="s">
        <v>472</v>
      </c>
      <c r="D1266" s="52" t="s">
        <v>473</v>
      </c>
      <c r="E1266" s="112">
        <f>0.04</f>
        <v>0.04</v>
      </c>
      <c r="F1266" s="53">
        <f>VLKS!Q35</f>
        <v>20000</v>
      </c>
      <c r="G1266" s="117">
        <f>hsvl</f>
        <v>1</v>
      </c>
      <c r="H1266" s="54">
        <f>ROUND(E1266*F1266*G1266,5)</f>
        <v>800</v>
      </c>
      <c r="I1266" s="114"/>
      <c r="J1266" s="110" t="e">
        <f>J1261</f>
        <v>#REF!</v>
      </c>
    </row>
    <row r="1267" spans="1:10" s="55" customFormat="1" ht="17.100000000000001" hidden="1" customHeight="1">
      <c r="A1267" s="50" t="e">
        <f t="shared" si="57"/>
        <v>#REF!</v>
      </c>
      <c r="B1267" s="51"/>
      <c r="C1267" s="51" t="s">
        <v>127</v>
      </c>
      <c r="D1267" s="52" t="s">
        <v>126</v>
      </c>
      <c r="E1267" s="112">
        <f>15</f>
        <v>15</v>
      </c>
      <c r="F1267" s="53"/>
      <c r="G1267" s="117"/>
      <c r="H1267" s="54">
        <f>ROUND(SUM(H1263:H1266)*E1267/100,5)</f>
        <v>4688.1809999999996</v>
      </c>
      <c r="I1267" s="114"/>
      <c r="J1267" s="110" t="e">
        <f>J1261</f>
        <v>#REF!</v>
      </c>
    </row>
    <row r="1268" spans="1:10" s="55" customFormat="1" ht="17.100000000000001" hidden="1" customHeight="1">
      <c r="A1268" s="50" t="e">
        <f t="shared" si="57"/>
        <v>#REF!</v>
      </c>
      <c r="B1268" s="51"/>
      <c r="C1268" s="51" t="s">
        <v>125</v>
      </c>
      <c r="D1268" s="52" t="s">
        <v>0</v>
      </c>
      <c r="E1268" s="112"/>
      <c r="F1268" s="53"/>
      <c r="G1268" s="117"/>
      <c r="H1268" s="56" t="e">
        <f>ROUND(SUM(H1269:H1269),5)</f>
        <v>#REF!</v>
      </c>
      <c r="I1268" s="115"/>
      <c r="J1268" s="110" t="e">
        <f>J1261</f>
        <v>#REF!</v>
      </c>
    </row>
    <row r="1269" spans="1:10" s="55" customFormat="1" ht="17.100000000000001" hidden="1" customHeight="1">
      <c r="A1269" s="50" t="e">
        <f t="shared" si="57"/>
        <v>#REF!</v>
      </c>
      <c r="B1269" s="51"/>
      <c r="C1269" s="51" t="s">
        <v>424</v>
      </c>
      <c r="D1269" s="52" t="s">
        <v>3</v>
      </c>
      <c r="E1269" s="112">
        <f>1.15</f>
        <v>1.1499999999999999</v>
      </c>
      <c r="F1269" s="53" t="e">
        <f>'NC,M KS'!P6</f>
        <v>#REF!</v>
      </c>
      <c r="G1269" s="117">
        <f>hsnc</f>
        <v>1</v>
      </c>
      <c r="H1269" s="54" t="e">
        <f>ROUND(E1269*F1269*G1269,5)</f>
        <v>#REF!</v>
      </c>
      <c r="I1269" s="114"/>
      <c r="J1269" s="110" t="e">
        <f>J1261</f>
        <v>#REF!</v>
      </c>
    </row>
    <row r="1270" spans="1:10" s="55" customFormat="1" ht="17.100000000000001" hidden="1" customHeight="1">
      <c r="A1270" s="50" t="e">
        <f t="shared" si="57"/>
        <v>#REF!</v>
      </c>
      <c r="B1270" s="51"/>
      <c r="C1270" s="51" t="s">
        <v>124</v>
      </c>
      <c r="D1270" s="52" t="s">
        <v>0</v>
      </c>
      <c r="E1270" s="112"/>
      <c r="F1270" s="53"/>
      <c r="G1270" s="117"/>
      <c r="H1270" s="56">
        <f>ROUND(SUM(H1271:H1271),5)</f>
        <v>1661.45417</v>
      </c>
      <c r="I1270" s="115"/>
      <c r="J1270" s="110" t="e">
        <f>J1261</f>
        <v>#REF!</v>
      </c>
    </row>
    <row r="1271" spans="1:10" s="55" customFormat="1" ht="17.100000000000001" hidden="1" customHeight="1">
      <c r="A1271" s="50" t="e">
        <f t="shared" si="57"/>
        <v>#REF!</v>
      </c>
      <c r="B1271" s="51"/>
      <c r="C1271" s="51" t="s">
        <v>474</v>
      </c>
      <c r="D1271" s="52" t="s">
        <v>4</v>
      </c>
      <c r="E1271" s="112">
        <f>0.15</f>
        <v>0.15</v>
      </c>
      <c r="F1271" s="53">
        <f>'NC,M KS'!P8</f>
        <v>11076.361111111111</v>
      </c>
      <c r="G1271" s="117">
        <f>hsm</f>
        <v>1</v>
      </c>
      <c r="H1271" s="54">
        <f>ROUND(E1271*F1271*G1271,5)</f>
        <v>1661.45417</v>
      </c>
      <c r="I1271" s="114"/>
      <c r="J1271" s="110" t="e">
        <f>J1261</f>
        <v>#REF!</v>
      </c>
    </row>
    <row r="1272" spans="1:10" s="55" customFormat="1" ht="17.100000000000001" hidden="1" customHeight="1">
      <c r="A1272" s="50" t="e">
        <f t="shared" si="57"/>
        <v>#REF!</v>
      </c>
      <c r="B1272" s="51"/>
      <c r="C1272" s="170" t="s">
        <v>556</v>
      </c>
      <c r="D1272" s="171" t="s">
        <v>136</v>
      </c>
      <c r="E1272" s="172" t="s">
        <v>205</v>
      </c>
      <c r="F1272" s="53"/>
      <c r="G1272" s="117"/>
      <c r="H1272" s="173" t="e">
        <f>ROUND(H1262+H1268+H1270,5)</f>
        <v>#REF!</v>
      </c>
      <c r="I1272" s="114"/>
      <c r="J1272" s="110" t="e">
        <f>J1261</f>
        <v>#REF!</v>
      </c>
    </row>
    <row r="1273" spans="1:10" s="55" customFormat="1" ht="17.100000000000001" hidden="1" customHeight="1">
      <c r="A1273" s="50" t="e">
        <f t="shared" si="57"/>
        <v>#REF!</v>
      </c>
      <c r="B1273" s="51"/>
      <c r="C1273" s="170" t="s">
        <v>557</v>
      </c>
      <c r="D1273" s="171" t="s">
        <v>204</v>
      </c>
      <c r="E1273" s="172" t="s">
        <v>558</v>
      </c>
      <c r="F1273" s="53"/>
      <c r="G1273" s="117"/>
      <c r="H1273" s="173" t="e">
        <f>SUM(H1274:H1275)</f>
        <v>#REF!</v>
      </c>
      <c r="I1273" s="114"/>
      <c r="J1273" s="110" t="e">
        <f>J1261</f>
        <v>#REF!</v>
      </c>
    </row>
    <row r="1274" spans="1:10" s="55" customFormat="1" ht="17.100000000000001" hidden="1" customHeight="1">
      <c r="A1274" s="50" t="e">
        <f t="shared" si="57"/>
        <v>#REF!</v>
      </c>
      <c r="B1274" s="51"/>
      <c r="C1274" s="51" t="s">
        <v>426</v>
      </c>
      <c r="D1274" s="52" t="s">
        <v>559</v>
      </c>
      <c r="E1274" s="116">
        <f>cpc</f>
        <v>0.7</v>
      </c>
      <c r="F1274" s="174"/>
      <c r="G1274" s="175"/>
      <c r="H1274" s="54" t="e">
        <f>E1274*H1268</f>
        <v>#REF!</v>
      </c>
      <c r="I1274" s="114"/>
      <c r="J1274" s="110" t="e">
        <f>J1261</f>
        <v>#REF!</v>
      </c>
    </row>
    <row r="1275" spans="1:10" s="55" customFormat="1" ht="17.100000000000001" hidden="1" customHeight="1">
      <c r="A1275" s="50" t="e">
        <f t="shared" si="57"/>
        <v>#REF!</v>
      </c>
      <c r="B1275" s="51"/>
      <c r="C1275" s="78" t="s">
        <v>560</v>
      </c>
      <c r="D1275" s="79" t="s">
        <v>561</v>
      </c>
      <c r="E1275" s="176">
        <f>hmc</f>
        <v>0.05</v>
      </c>
      <c r="F1275" s="53"/>
      <c r="G1275" s="113"/>
      <c r="H1275" s="54" t="e">
        <f>E1275*H1272</f>
        <v>#REF!</v>
      </c>
      <c r="I1275" s="114"/>
      <c r="J1275" s="110" t="e">
        <f>J1261</f>
        <v>#REF!</v>
      </c>
    </row>
    <row r="1276" spans="1:10" s="55" customFormat="1" ht="17.100000000000001" hidden="1" customHeight="1">
      <c r="A1276" s="50" t="e">
        <f t="shared" si="57"/>
        <v>#REF!</v>
      </c>
      <c r="B1276" s="51"/>
      <c r="C1276" s="170" t="s">
        <v>562</v>
      </c>
      <c r="D1276" s="171" t="s">
        <v>563</v>
      </c>
      <c r="E1276" s="179">
        <f>tn</f>
        <v>0.06</v>
      </c>
      <c r="F1276" s="177"/>
      <c r="G1276" s="178"/>
      <c r="H1276" s="181" t="e">
        <f>SUM(H1272:H1273)*E1276</f>
        <v>#REF!</v>
      </c>
      <c r="I1276" s="114"/>
      <c r="J1276" s="110" t="e">
        <f>J1261</f>
        <v>#REF!</v>
      </c>
    </row>
    <row r="1277" spans="1:10" s="55" customFormat="1" ht="17.100000000000001" hidden="1" customHeight="1">
      <c r="A1277" s="50" t="e">
        <f t="shared" si="57"/>
        <v>#REF!</v>
      </c>
      <c r="B1277" s="51"/>
      <c r="C1277" s="92" t="s">
        <v>1879</v>
      </c>
      <c r="D1277" s="171" t="s">
        <v>227</v>
      </c>
      <c r="E1277" s="180" t="s">
        <v>564</v>
      </c>
      <c r="F1277" s="174"/>
      <c r="G1277" s="175"/>
      <c r="H1277" s="173" t="e">
        <f>SUM(H1278:H1279)</f>
        <v>#REF!</v>
      </c>
      <c r="I1277" s="114"/>
      <c r="J1277" s="110" t="e">
        <f>J1261</f>
        <v>#REF!</v>
      </c>
    </row>
    <row r="1278" spans="1:10" s="55" customFormat="1" ht="17.100000000000001" hidden="1" customHeight="1">
      <c r="A1278" s="50" t="e">
        <f t="shared" si="57"/>
        <v>#REF!</v>
      </c>
      <c r="B1278" s="51"/>
      <c r="C1278" s="51" t="s">
        <v>427</v>
      </c>
      <c r="D1278" s="52" t="s">
        <v>428</v>
      </c>
      <c r="E1278" s="1093">
        <f>paks</f>
        <v>0</v>
      </c>
      <c r="F1278" s="174"/>
      <c r="G1278" s="175"/>
      <c r="H1278" s="54" t="e">
        <f>(H1272+H1273+H1276)*E1278</f>
        <v>#REF!</v>
      </c>
      <c r="I1278" s="114"/>
      <c r="J1278" s="110" t="e">
        <f>J1261</f>
        <v>#REF!</v>
      </c>
    </row>
    <row r="1279" spans="1:10" s="55" customFormat="1" ht="17.100000000000001" hidden="1" customHeight="1">
      <c r="A1279" s="50" t="e">
        <f t="shared" si="57"/>
        <v>#REF!</v>
      </c>
      <c r="B1279" s="51"/>
      <c r="C1279" s="51" t="s">
        <v>429</v>
      </c>
      <c r="D1279" s="52" t="s">
        <v>430</v>
      </c>
      <c r="E1279" s="1093">
        <f>bcks</f>
        <v>0.03</v>
      </c>
      <c r="F1279" s="53"/>
      <c r="G1279" s="113"/>
      <c r="H1279" s="54" t="e">
        <f>(H1272+H1273+H1276)*E1279</f>
        <v>#REF!</v>
      </c>
      <c r="I1279" s="114"/>
      <c r="J1279" s="110" t="e">
        <f>J1261</f>
        <v>#REF!</v>
      </c>
    </row>
    <row r="1280" spans="1:10" s="55" customFormat="1" ht="17.100000000000001" hidden="1" customHeight="1">
      <c r="A1280" s="50" t="e">
        <f t="shared" si="57"/>
        <v>#REF!</v>
      </c>
      <c r="B1280" s="51"/>
      <c r="C1280" s="170" t="s">
        <v>565</v>
      </c>
      <c r="D1280" s="171" t="s">
        <v>218</v>
      </c>
      <c r="E1280" s="172" t="s">
        <v>566</v>
      </c>
      <c r="F1280" s="53"/>
      <c r="G1280" s="113"/>
      <c r="H1280" s="173" t="e">
        <f>H1272+H1273+H1276+H1277</f>
        <v>#REF!</v>
      </c>
      <c r="I1280" s="114"/>
      <c r="J1280" s="110" t="e">
        <f>J1261</f>
        <v>#REF!</v>
      </c>
    </row>
    <row r="1281" spans="1:10" s="55" customFormat="1" ht="17.100000000000001" hidden="1" customHeight="1">
      <c r="A1281" s="50" t="e">
        <f t="shared" si="57"/>
        <v>#REF!</v>
      </c>
      <c r="B1281" s="51"/>
      <c r="C1281" s="51" t="s">
        <v>567</v>
      </c>
      <c r="D1281" s="52" t="s">
        <v>222</v>
      </c>
      <c r="E1281" s="112" t="s">
        <v>1917</v>
      </c>
      <c r="F1281" s="174"/>
      <c r="G1281" s="175"/>
      <c r="H1281" s="54" t="e">
        <f>ROUND(H1280*10/100,5)</f>
        <v>#REF!</v>
      </c>
      <c r="I1281" s="114"/>
      <c r="J1281" s="110" t="e">
        <f>J1261</f>
        <v>#REF!</v>
      </c>
    </row>
    <row r="1282" spans="1:10" s="55" customFormat="1" ht="17.100000000000001" hidden="1" customHeight="1">
      <c r="A1282" s="50" t="e">
        <f t="shared" si="57"/>
        <v>#REF!</v>
      </c>
      <c r="B1282" s="51"/>
      <c r="C1282" s="170" t="s">
        <v>568</v>
      </c>
      <c r="D1282" s="171" t="s">
        <v>225</v>
      </c>
      <c r="E1282" s="172" t="s">
        <v>192</v>
      </c>
      <c r="F1282" s="53"/>
      <c r="G1282" s="117"/>
      <c r="H1282" s="56" t="e">
        <f>ROUND(H1280+H1281,5)</f>
        <v>#REF!</v>
      </c>
      <c r="I1282" s="115"/>
      <c r="J1282" s="715" t="e">
        <f>J1261</f>
        <v>#REF!</v>
      </c>
    </row>
    <row r="1283" spans="1:10" s="263" customFormat="1" ht="17.100000000000001" hidden="1" customHeight="1">
      <c r="A1283" s="264" t="e">
        <f t="shared" si="57"/>
        <v>#REF!</v>
      </c>
      <c r="B1283" s="265" t="s">
        <v>398</v>
      </c>
      <c r="C1283" s="265" t="s">
        <v>399</v>
      </c>
      <c r="D1283" s="266" t="s">
        <v>400</v>
      </c>
      <c r="E1283" s="270"/>
      <c r="F1283" s="267"/>
      <c r="G1283" s="271"/>
      <c r="H1283" s="268" t="e">
        <f>H1306</f>
        <v>#REF!</v>
      </c>
      <c r="I1283" s="272"/>
      <c r="J1283" s="273">
        <f>IF(SUMIF(Khaosat!$B$6:$B$47,'PT giaKS'!B1283,Khaosat!$I$6:$I$47)&lt;&gt;0,$J$6,0)</f>
        <v>0</v>
      </c>
    </row>
    <row r="1284" spans="1:10" s="55" customFormat="1" ht="17.100000000000001" hidden="1" customHeight="1">
      <c r="A1284" s="50" t="e">
        <f t="shared" si="57"/>
        <v>#REF!</v>
      </c>
      <c r="B1284" s="51"/>
      <c r="C1284" s="51" t="s">
        <v>128</v>
      </c>
      <c r="D1284" s="52" t="s">
        <v>0</v>
      </c>
      <c r="E1284" s="112"/>
      <c r="F1284" s="53"/>
      <c r="G1284" s="117"/>
      <c r="H1284" s="56">
        <f>ROUND(SUM(H1285:H1289),5)</f>
        <v>7019.7875000000004</v>
      </c>
      <c r="I1284" s="115"/>
      <c r="J1284" s="110">
        <f>J1283</f>
        <v>0</v>
      </c>
    </row>
    <row r="1285" spans="1:10" s="55" customFormat="1" ht="17.100000000000001" hidden="1" customHeight="1">
      <c r="A1285" s="50" t="e">
        <f t="shared" si="57"/>
        <v>#REF!</v>
      </c>
      <c r="B1285" s="51"/>
      <c r="C1285" s="51" t="s">
        <v>476</v>
      </c>
      <c r="D1285" s="52" t="s">
        <v>7</v>
      </c>
      <c r="E1285" s="112">
        <f>0.025</f>
        <v>2.5000000000000001E-2</v>
      </c>
      <c r="F1285" s="53">
        <f>VLKS!Q60</f>
        <v>104545</v>
      </c>
      <c r="G1285" s="117">
        <f>hsvl</f>
        <v>1</v>
      </c>
      <c r="H1285" s="54">
        <f>ROUND(E1285*F1285*G1285,5)</f>
        <v>2613.625</v>
      </c>
      <c r="I1285" s="114"/>
      <c r="J1285" s="110">
        <f>J1283</f>
        <v>0</v>
      </c>
    </row>
    <row r="1286" spans="1:10" s="55" customFormat="1" ht="17.100000000000001" hidden="1" customHeight="1">
      <c r="A1286" s="50" t="e">
        <f t="shared" si="57"/>
        <v>#REF!</v>
      </c>
      <c r="B1286" s="51"/>
      <c r="C1286" s="51" t="s">
        <v>477</v>
      </c>
      <c r="D1286" s="52" t="s">
        <v>129</v>
      </c>
      <c r="E1286" s="112">
        <f>0.4</f>
        <v>0.4</v>
      </c>
      <c r="F1286" s="53">
        <f>VLKS!Q31</f>
        <v>3170</v>
      </c>
      <c r="G1286" s="117">
        <f>hsvl</f>
        <v>1</v>
      </c>
      <c r="H1286" s="54">
        <f>ROUND(E1286*F1286*G1286,5)</f>
        <v>1268</v>
      </c>
      <c r="I1286" s="114"/>
      <c r="J1286" s="110">
        <f>J1283</f>
        <v>0</v>
      </c>
    </row>
    <row r="1287" spans="1:10" s="55" customFormat="1" ht="17.100000000000001" hidden="1" customHeight="1">
      <c r="A1287" s="50" t="e">
        <f t="shared" si="57"/>
        <v>#REF!</v>
      </c>
      <c r="B1287" s="51"/>
      <c r="C1287" s="51" t="s">
        <v>478</v>
      </c>
      <c r="D1287" s="52" t="s">
        <v>82</v>
      </c>
      <c r="E1287" s="112">
        <f>0.1</f>
        <v>0.1</v>
      </c>
      <c r="F1287" s="53">
        <f>VLKS!Q9</f>
        <v>15000</v>
      </c>
      <c r="G1287" s="117">
        <f>hsvl</f>
        <v>1</v>
      </c>
      <c r="H1287" s="54">
        <f>ROUND(E1287*F1287*G1287,5)</f>
        <v>1500</v>
      </c>
      <c r="I1287" s="114"/>
      <c r="J1287" s="110">
        <f>J1283</f>
        <v>0</v>
      </c>
    </row>
    <row r="1288" spans="1:10" s="55" customFormat="1" ht="17.100000000000001" hidden="1" customHeight="1">
      <c r="A1288" s="50" t="e">
        <f t="shared" si="57"/>
        <v>#REF!</v>
      </c>
      <c r="B1288" s="51"/>
      <c r="C1288" s="51" t="s">
        <v>479</v>
      </c>
      <c r="D1288" s="52" t="s">
        <v>82</v>
      </c>
      <c r="E1288" s="112">
        <f>0.01</f>
        <v>0.01</v>
      </c>
      <c r="F1288" s="53">
        <f>VLKS!Q52</f>
        <v>100000</v>
      </c>
      <c r="G1288" s="117">
        <f>hsvl</f>
        <v>1</v>
      </c>
      <c r="H1288" s="54">
        <f>ROUND(E1288*F1288*G1288,5)</f>
        <v>1000</v>
      </c>
      <c r="I1288" s="114"/>
      <c r="J1288" s="110">
        <f>J1283</f>
        <v>0</v>
      </c>
    </row>
    <row r="1289" spans="1:10" s="55" customFormat="1" ht="17.100000000000001" hidden="1" customHeight="1">
      <c r="A1289" s="50" t="e">
        <f t="shared" si="57"/>
        <v>#REF!</v>
      </c>
      <c r="B1289" s="51"/>
      <c r="C1289" s="51" t="s">
        <v>127</v>
      </c>
      <c r="D1289" s="52" t="s">
        <v>126</v>
      </c>
      <c r="E1289" s="112">
        <f>10</f>
        <v>10</v>
      </c>
      <c r="F1289" s="53"/>
      <c r="G1289" s="117"/>
      <c r="H1289" s="54">
        <f>ROUND(SUM(H1285:H1288)*E1289/100,5)</f>
        <v>638.16250000000002</v>
      </c>
      <c r="I1289" s="114"/>
      <c r="J1289" s="110">
        <f>J1283</f>
        <v>0</v>
      </c>
    </row>
    <row r="1290" spans="1:10" s="55" customFormat="1" ht="17.100000000000001" hidden="1" customHeight="1">
      <c r="A1290" s="50" t="e">
        <f t="shared" si="57"/>
        <v>#REF!</v>
      </c>
      <c r="B1290" s="51"/>
      <c r="C1290" s="51" t="s">
        <v>125</v>
      </c>
      <c r="D1290" s="52" t="s">
        <v>0</v>
      </c>
      <c r="E1290" s="112"/>
      <c r="F1290" s="53"/>
      <c r="G1290" s="117"/>
      <c r="H1290" s="56" t="e">
        <f>ROUND(SUM(H1291:H1291),5)</f>
        <v>#REF!</v>
      </c>
      <c r="I1290" s="115"/>
      <c r="J1290" s="110">
        <f>J1283</f>
        <v>0</v>
      </c>
    </row>
    <row r="1291" spans="1:10" s="55" customFormat="1" ht="17.100000000000001" hidden="1" customHeight="1">
      <c r="A1291" s="50" t="e">
        <f t="shared" si="57"/>
        <v>#REF!</v>
      </c>
      <c r="B1291" s="51"/>
      <c r="C1291" s="51" t="s">
        <v>424</v>
      </c>
      <c r="D1291" s="52" t="s">
        <v>3</v>
      </c>
      <c r="E1291" s="112">
        <f>6</f>
        <v>6</v>
      </c>
      <c r="F1291" s="53" t="e">
        <f>'NC,M KS'!P6</f>
        <v>#REF!</v>
      </c>
      <c r="G1291" s="117">
        <f>hsnc</f>
        <v>1</v>
      </c>
      <c r="H1291" s="54" t="e">
        <f>ROUND(E1291*F1291*G1291,5)</f>
        <v>#REF!</v>
      </c>
      <c r="I1291" s="114"/>
      <c r="J1291" s="110">
        <f>J1283</f>
        <v>0</v>
      </c>
    </row>
    <row r="1292" spans="1:10" s="55" customFormat="1" ht="17.100000000000001" hidden="1" customHeight="1">
      <c r="A1292" s="50" t="e">
        <f t="shared" si="57"/>
        <v>#REF!</v>
      </c>
      <c r="B1292" s="51"/>
      <c r="C1292" s="51" t="s">
        <v>124</v>
      </c>
      <c r="D1292" s="52" t="s">
        <v>0</v>
      </c>
      <c r="E1292" s="112"/>
      <c r="F1292" s="53"/>
      <c r="G1292" s="117"/>
      <c r="H1292" s="56">
        <f>ROUND(SUM(H1293:H1295),5)</f>
        <v>188855.595</v>
      </c>
      <c r="I1292" s="115"/>
      <c r="J1292" s="110">
        <f>J1283</f>
        <v>0</v>
      </c>
    </row>
    <row r="1293" spans="1:10" s="55" customFormat="1" ht="17.100000000000001" hidden="1" customHeight="1">
      <c r="A1293" s="50" t="e">
        <f t="shared" si="57"/>
        <v>#REF!</v>
      </c>
      <c r="B1293" s="51"/>
      <c r="C1293" s="51" t="s">
        <v>480</v>
      </c>
      <c r="D1293" s="52" t="s">
        <v>4</v>
      </c>
      <c r="E1293" s="112">
        <f>0.1</f>
        <v>0.1</v>
      </c>
      <c r="F1293" s="53">
        <f>'NC,M KS'!P35</f>
        <v>1585193.5</v>
      </c>
      <c r="G1293" s="117">
        <f>hsm</f>
        <v>1</v>
      </c>
      <c r="H1293" s="54">
        <f>ROUND(E1293*F1293*G1293,5)</f>
        <v>158519.35</v>
      </c>
      <c r="I1293" s="114"/>
      <c r="J1293" s="110">
        <f>J1283</f>
        <v>0</v>
      </c>
    </row>
    <row r="1294" spans="1:10" s="55" customFormat="1" ht="17.100000000000001" hidden="1" customHeight="1">
      <c r="A1294" s="50" t="e">
        <f t="shared" si="57"/>
        <v>#REF!</v>
      </c>
      <c r="B1294" s="51"/>
      <c r="C1294" s="51" t="s">
        <v>481</v>
      </c>
      <c r="D1294" s="52" t="s">
        <v>4</v>
      </c>
      <c r="E1294" s="112">
        <f>0.1</f>
        <v>0.1</v>
      </c>
      <c r="F1294" s="53">
        <f>'NC,M KS'!P26</f>
        <v>242142.1</v>
      </c>
      <c r="G1294" s="117">
        <f>hsm</f>
        <v>1</v>
      </c>
      <c r="H1294" s="54">
        <f>ROUND(E1294*F1294*G1294,5)</f>
        <v>24214.21</v>
      </c>
      <c r="I1294" s="114"/>
      <c r="J1294" s="110">
        <f>J1283</f>
        <v>0</v>
      </c>
    </row>
    <row r="1295" spans="1:10" s="55" customFormat="1" ht="17.100000000000001" hidden="1" customHeight="1">
      <c r="A1295" s="50" t="e">
        <f t="shared" si="57"/>
        <v>#REF!</v>
      </c>
      <c r="B1295" s="51"/>
      <c r="C1295" s="51" t="s">
        <v>482</v>
      </c>
      <c r="D1295" s="52" t="s">
        <v>4</v>
      </c>
      <c r="E1295" s="112">
        <f>0.1</f>
        <v>0.1</v>
      </c>
      <c r="F1295" s="53">
        <f>'NC,M KS'!P10</f>
        <v>61220.35</v>
      </c>
      <c r="G1295" s="117">
        <f>hsm</f>
        <v>1</v>
      </c>
      <c r="H1295" s="54">
        <f>ROUND(E1295*F1295*G1295,5)</f>
        <v>6122.0349999999999</v>
      </c>
      <c r="I1295" s="114"/>
      <c r="J1295" s="110">
        <f>J1283</f>
        <v>0</v>
      </c>
    </row>
    <row r="1296" spans="1:10" s="55" customFormat="1" ht="17.100000000000001" hidden="1" customHeight="1">
      <c r="A1296" s="50" t="e">
        <f t="shared" si="57"/>
        <v>#REF!</v>
      </c>
      <c r="B1296" s="51"/>
      <c r="C1296" s="170" t="s">
        <v>556</v>
      </c>
      <c r="D1296" s="171" t="s">
        <v>136</v>
      </c>
      <c r="E1296" s="172" t="s">
        <v>205</v>
      </c>
      <c r="F1296" s="53"/>
      <c r="G1296" s="117"/>
      <c r="H1296" s="173" t="e">
        <f>ROUND(H1284+H1290+H1292,5)</f>
        <v>#REF!</v>
      </c>
      <c r="I1296" s="114"/>
      <c r="J1296" s="110">
        <f>J1283</f>
        <v>0</v>
      </c>
    </row>
    <row r="1297" spans="1:10" s="55" customFormat="1" ht="17.100000000000001" hidden="1" customHeight="1">
      <c r="A1297" s="50" t="e">
        <f t="shared" si="57"/>
        <v>#REF!</v>
      </c>
      <c r="B1297" s="51"/>
      <c r="C1297" s="170" t="s">
        <v>557</v>
      </c>
      <c r="D1297" s="171" t="s">
        <v>204</v>
      </c>
      <c r="E1297" s="172" t="s">
        <v>558</v>
      </c>
      <c r="F1297" s="53"/>
      <c r="G1297" s="117"/>
      <c r="H1297" s="173" t="e">
        <f>SUM(H1298:H1299)</f>
        <v>#REF!</v>
      </c>
      <c r="I1297" s="114"/>
      <c r="J1297" s="110">
        <f>J1283</f>
        <v>0</v>
      </c>
    </row>
    <row r="1298" spans="1:10" s="55" customFormat="1" ht="17.100000000000001" hidden="1" customHeight="1">
      <c r="A1298" s="50" t="e">
        <f t="shared" si="57"/>
        <v>#REF!</v>
      </c>
      <c r="B1298" s="51"/>
      <c r="C1298" s="51" t="s">
        <v>426</v>
      </c>
      <c r="D1298" s="52" t="s">
        <v>559</v>
      </c>
      <c r="E1298" s="116">
        <f>cpc</f>
        <v>0.7</v>
      </c>
      <c r="F1298" s="174"/>
      <c r="G1298" s="175"/>
      <c r="H1298" s="54" t="e">
        <f>E1298*H1290</f>
        <v>#REF!</v>
      </c>
      <c r="I1298" s="114"/>
      <c r="J1298" s="110">
        <f>J1283</f>
        <v>0</v>
      </c>
    </row>
    <row r="1299" spans="1:10" s="55" customFormat="1" ht="17.100000000000001" hidden="1" customHeight="1">
      <c r="A1299" s="50" t="e">
        <f t="shared" si="57"/>
        <v>#REF!</v>
      </c>
      <c r="B1299" s="51"/>
      <c r="C1299" s="78" t="s">
        <v>560</v>
      </c>
      <c r="D1299" s="79" t="s">
        <v>561</v>
      </c>
      <c r="E1299" s="176">
        <f>hmc</f>
        <v>0.05</v>
      </c>
      <c r="F1299" s="53"/>
      <c r="G1299" s="113"/>
      <c r="H1299" s="54" t="e">
        <f>E1299*H1296</f>
        <v>#REF!</v>
      </c>
      <c r="I1299" s="114"/>
      <c r="J1299" s="110">
        <f>J1283</f>
        <v>0</v>
      </c>
    </row>
    <row r="1300" spans="1:10" s="55" customFormat="1" ht="17.100000000000001" hidden="1" customHeight="1">
      <c r="A1300" s="50" t="e">
        <f t="shared" si="57"/>
        <v>#REF!</v>
      </c>
      <c r="B1300" s="51"/>
      <c r="C1300" s="170" t="s">
        <v>562</v>
      </c>
      <c r="D1300" s="171" t="s">
        <v>563</v>
      </c>
      <c r="E1300" s="179">
        <f>tn</f>
        <v>0.06</v>
      </c>
      <c r="F1300" s="177"/>
      <c r="G1300" s="178"/>
      <c r="H1300" s="181" t="e">
        <f>SUM(H1296:H1297)*E1300</f>
        <v>#REF!</v>
      </c>
      <c r="I1300" s="114"/>
      <c r="J1300" s="110">
        <f>J1283</f>
        <v>0</v>
      </c>
    </row>
    <row r="1301" spans="1:10" s="55" customFormat="1" ht="17.100000000000001" hidden="1" customHeight="1">
      <c r="A1301" s="50" t="e">
        <f t="shared" si="57"/>
        <v>#REF!</v>
      </c>
      <c r="B1301" s="51"/>
      <c r="C1301" s="92" t="s">
        <v>1879</v>
      </c>
      <c r="D1301" s="171" t="s">
        <v>227</v>
      </c>
      <c r="E1301" s="180" t="s">
        <v>564</v>
      </c>
      <c r="F1301" s="174"/>
      <c r="G1301" s="175"/>
      <c r="H1301" s="173" t="e">
        <f>SUM(H1302:H1303)</f>
        <v>#REF!</v>
      </c>
      <c r="I1301" s="114"/>
      <c r="J1301" s="110">
        <f>J1283</f>
        <v>0</v>
      </c>
    </row>
    <row r="1302" spans="1:10" s="55" customFormat="1" ht="17.100000000000001" hidden="1" customHeight="1">
      <c r="A1302" s="50" t="e">
        <f t="shared" si="57"/>
        <v>#REF!</v>
      </c>
      <c r="B1302" s="51"/>
      <c r="C1302" s="51" t="s">
        <v>427</v>
      </c>
      <c r="D1302" s="52" t="s">
        <v>428</v>
      </c>
      <c r="E1302" s="1093">
        <f>paks</f>
        <v>0</v>
      </c>
      <c r="F1302" s="174"/>
      <c r="G1302" s="175"/>
      <c r="H1302" s="54" t="e">
        <f>(H1296+H1297+H1300)*E1302</f>
        <v>#REF!</v>
      </c>
      <c r="I1302" s="114"/>
      <c r="J1302" s="110">
        <f>J1283</f>
        <v>0</v>
      </c>
    </row>
    <row r="1303" spans="1:10" s="55" customFormat="1" ht="17.100000000000001" hidden="1" customHeight="1">
      <c r="A1303" s="50" t="e">
        <f t="shared" si="57"/>
        <v>#REF!</v>
      </c>
      <c r="B1303" s="51"/>
      <c r="C1303" s="51" t="s">
        <v>429</v>
      </c>
      <c r="D1303" s="52" t="s">
        <v>430</v>
      </c>
      <c r="E1303" s="1093">
        <f>bcks</f>
        <v>0.03</v>
      </c>
      <c r="F1303" s="53"/>
      <c r="G1303" s="113"/>
      <c r="H1303" s="54" t="e">
        <f>(H1296+H1297+H1300)*E1303</f>
        <v>#REF!</v>
      </c>
      <c r="I1303" s="114"/>
      <c r="J1303" s="110">
        <f>J1283</f>
        <v>0</v>
      </c>
    </row>
    <row r="1304" spans="1:10" s="55" customFormat="1" ht="17.100000000000001" hidden="1" customHeight="1">
      <c r="A1304" s="50" t="e">
        <f t="shared" si="57"/>
        <v>#REF!</v>
      </c>
      <c r="B1304" s="51"/>
      <c r="C1304" s="170" t="s">
        <v>565</v>
      </c>
      <c r="D1304" s="171" t="s">
        <v>218</v>
      </c>
      <c r="E1304" s="172" t="s">
        <v>566</v>
      </c>
      <c r="F1304" s="53"/>
      <c r="G1304" s="113"/>
      <c r="H1304" s="173" t="e">
        <f>H1296+H1297+H1300+H1301</f>
        <v>#REF!</v>
      </c>
      <c r="I1304" s="114"/>
      <c r="J1304" s="715">
        <f>J1283</f>
        <v>0</v>
      </c>
    </row>
    <row r="1305" spans="1:10" s="55" customFormat="1" ht="17.100000000000001" hidden="1" customHeight="1">
      <c r="A1305" s="50" t="e">
        <f t="shared" si="57"/>
        <v>#REF!</v>
      </c>
      <c r="B1305" s="51"/>
      <c r="C1305" s="51" t="s">
        <v>567</v>
      </c>
      <c r="D1305" s="52" t="s">
        <v>222</v>
      </c>
      <c r="E1305" s="112" t="s">
        <v>1917</v>
      </c>
      <c r="F1305" s="174"/>
      <c r="G1305" s="175"/>
      <c r="H1305" s="54" t="e">
        <f>ROUND(H1304*10/100,5)</f>
        <v>#REF!</v>
      </c>
      <c r="I1305" s="114"/>
      <c r="J1305" s="715">
        <f>J1283</f>
        <v>0</v>
      </c>
    </row>
    <row r="1306" spans="1:10" s="55" customFormat="1" ht="17.100000000000001" hidden="1" customHeight="1">
      <c r="A1306" s="50" t="e">
        <f t="shared" si="57"/>
        <v>#REF!</v>
      </c>
      <c r="B1306" s="51"/>
      <c r="C1306" s="170" t="s">
        <v>568</v>
      </c>
      <c r="D1306" s="171" t="s">
        <v>225</v>
      </c>
      <c r="E1306" s="172" t="s">
        <v>192</v>
      </c>
      <c r="F1306" s="53"/>
      <c r="G1306" s="117"/>
      <c r="H1306" s="56" t="e">
        <f>ROUND(H1304+H1305,5)</f>
        <v>#REF!</v>
      </c>
      <c r="I1306" s="115"/>
      <c r="J1306" s="715">
        <f>J1283</f>
        <v>0</v>
      </c>
    </row>
    <row r="1307" spans="1:10" s="263" customFormat="1" ht="17.100000000000001" hidden="1" customHeight="1">
      <c r="A1307" s="264" t="e">
        <f t="shared" si="57"/>
        <v>#REF!</v>
      </c>
      <c r="B1307" s="265" t="s">
        <v>401</v>
      </c>
      <c r="C1307" s="265" t="s">
        <v>402</v>
      </c>
      <c r="D1307" s="266" t="s">
        <v>345</v>
      </c>
      <c r="E1307" s="270"/>
      <c r="F1307" s="267"/>
      <c r="G1307" s="271"/>
      <c r="H1307" s="268" t="e">
        <f>H1328</f>
        <v>#REF!</v>
      </c>
      <c r="I1307" s="272"/>
      <c r="J1307" s="273">
        <f>IF(SUMIF(Khaosat!$B$6:$B$47,'PT giaKS'!B1307,Khaosat!$I$6:$I$47)&lt;&gt;0,$J$6,0)</f>
        <v>0</v>
      </c>
    </row>
    <row r="1308" spans="1:10" s="55" customFormat="1" ht="17.100000000000001" hidden="1" customHeight="1">
      <c r="A1308" s="50" t="e">
        <f t="shared" si="57"/>
        <v>#REF!</v>
      </c>
      <c r="B1308" s="51"/>
      <c r="C1308" s="51" t="s">
        <v>128</v>
      </c>
      <c r="D1308" s="52" t="s">
        <v>0</v>
      </c>
      <c r="E1308" s="112"/>
      <c r="F1308" s="53"/>
      <c r="G1308" s="117"/>
      <c r="H1308" s="56">
        <f>ROUND(SUM(H1309:H1310),5)</f>
        <v>10014.888279999999</v>
      </c>
      <c r="I1308" s="115"/>
      <c r="J1308" s="110">
        <f>J1307</f>
        <v>0</v>
      </c>
    </row>
    <row r="1309" spans="1:10" s="55" customFormat="1" ht="17.100000000000001" hidden="1" customHeight="1">
      <c r="A1309" s="50" t="e">
        <f t="shared" si="57"/>
        <v>#REF!</v>
      </c>
      <c r="B1309" s="51"/>
      <c r="C1309" s="51" t="s">
        <v>476</v>
      </c>
      <c r="D1309" s="52" t="s">
        <v>7</v>
      </c>
      <c r="E1309" s="112">
        <f>0.0833</f>
        <v>8.3299999999999999E-2</v>
      </c>
      <c r="F1309" s="53">
        <f>VLKS!Q60</f>
        <v>104545</v>
      </c>
      <c r="G1309" s="117">
        <f>hsvl</f>
        <v>1</v>
      </c>
      <c r="H1309" s="54">
        <f>ROUND(E1309*F1309*G1309,5)</f>
        <v>8708.5985000000001</v>
      </c>
      <c r="I1309" s="114"/>
      <c r="J1309" s="110">
        <f>J1307</f>
        <v>0</v>
      </c>
    </row>
    <row r="1310" spans="1:10" s="55" customFormat="1" ht="17.100000000000001" hidden="1" customHeight="1">
      <c r="A1310" s="50" t="e">
        <f t="shared" si="57"/>
        <v>#REF!</v>
      </c>
      <c r="B1310" s="51"/>
      <c r="C1310" s="51" t="s">
        <v>127</v>
      </c>
      <c r="D1310" s="52" t="s">
        <v>126</v>
      </c>
      <c r="E1310" s="112">
        <f>15</f>
        <v>15</v>
      </c>
      <c r="F1310" s="53"/>
      <c r="G1310" s="117"/>
      <c r="H1310" s="54">
        <f>ROUND(SUM(H1309:H1309)*E1310/100,5)</f>
        <v>1306.2897800000001</v>
      </c>
      <c r="I1310" s="114"/>
      <c r="J1310" s="110">
        <f>J1307</f>
        <v>0</v>
      </c>
    </row>
    <row r="1311" spans="1:10" s="55" customFormat="1" ht="17.100000000000001" hidden="1" customHeight="1">
      <c r="A1311" s="50" t="e">
        <f t="shared" si="57"/>
        <v>#REF!</v>
      </c>
      <c r="B1311" s="51"/>
      <c r="C1311" s="51" t="s">
        <v>125</v>
      </c>
      <c r="D1311" s="52" t="s">
        <v>0</v>
      </c>
      <c r="E1311" s="112"/>
      <c r="F1311" s="53"/>
      <c r="G1311" s="117"/>
      <c r="H1311" s="56" t="e">
        <f>ROUND(SUM(H1312:H1312),5)</f>
        <v>#REF!</v>
      </c>
      <c r="I1311" s="115"/>
      <c r="J1311" s="110">
        <f>J1307</f>
        <v>0</v>
      </c>
    </row>
    <row r="1312" spans="1:10" s="55" customFormat="1" ht="17.100000000000001" hidden="1" customHeight="1">
      <c r="A1312" s="50" t="e">
        <f t="shared" si="57"/>
        <v>#REF!</v>
      </c>
      <c r="B1312" s="51"/>
      <c r="C1312" s="51" t="s">
        <v>424</v>
      </c>
      <c r="D1312" s="52" t="s">
        <v>3</v>
      </c>
      <c r="E1312" s="112">
        <f>1.4</f>
        <v>1.4</v>
      </c>
      <c r="F1312" s="53" t="e">
        <f>'NC,M KS'!P6</f>
        <v>#REF!</v>
      </c>
      <c r="G1312" s="117">
        <f>hsnc</f>
        <v>1</v>
      </c>
      <c r="H1312" s="54" t="e">
        <f>ROUND(E1312*F1312*G1312,5)</f>
        <v>#REF!</v>
      </c>
      <c r="I1312" s="114"/>
      <c r="J1312" s="110">
        <f>J1307</f>
        <v>0</v>
      </c>
    </row>
    <row r="1313" spans="1:10" s="55" customFormat="1" ht="17.100000000000001" hidden="1" customHeight="1">
      <c r="A1313" s="50" t="e">
        <f t="shared" si="57"/>
        <v>#REF!</v>
      </c>
      <c r="B1313" s="51"/>
      <c r="C1313" s="51" t="s">
        <v>124</v>
      </c>
      <c r="D1313" s="52" t="s">
        <v>0</v>
      </c>
      <c r="E1313" s="112"/>
      <c r="F1313" s="53"/>
      <c r="G1313" s="117"/>
      <c r="H1313" s="56">
        <f>ROUND(SUM(H1314:H1317),5)</f>
        <v>144509.77799999999</v>
      </c>
      <c r="I1313" s="115"/>
      <c r="J1313" s="110">
        <f>J1307</f>
        <v>0</v>
      </c>
    </row>
    <row r="1314" spans="1:10" s="55" customFormat="1" ht="17.100000000000001" hidden="1" customHeight="1">
      <c r="A1314" s="50" t="e">
        <f t="shared" si="57"/>
        <v>#REF!</v>
      </c>
      <c r="B1314" s="51"/>
      <c r="C1314" s="51" t="s">
        <v>483</v>
      </c>
      <c r="D1314" s="52" t="s">
        <v>4</v>
      </c>
      <c r="E1314" s="112">
        <f>0.3</f>
        <v>0.3</v>
      </c>
      <c r="F1314" s="53">
        <f>'NC,M KS'!P16</f>
        <v>16568</v>
      </c>
      <c r="G1314" s="117">
        <f>hsm</f>
        <v>1</v>
      </c>
      <c r="H1314" s="54">
        <f>ROUND(E1314*F1314*G1314,5)</f>
        <v>4970.3999999999996</v>
      </c>
      <c r="I1314" s="114"/>
      <c r="J1314" s="110">
        <f>J1307</f>
        <v>0</v>
      </c>
    </row>
    <row r="1315" spans="1:10" s="55" customFormat="1" ht="17.100000000000001" hidden="1" customHeight="1">
      <c r="A1315" s="50" t="e">
        <f t="shared" si="57"/>
        <v>#REF!</v>
      </c>
      <c r="B1315" s="51"/>
      <c r="C1315" s="51" t="s">
        <v>484</v>
      </c>
      <c r="D1315" s="52" t="s">
        <v>4</v>
      </c>
      <c r="E1315" s="112">
        <f>0.3</f>
        <v>0.3</v>
      </c>
      <c r="F1315" s="53">
        <f>'NC,M KS'!P14</f>
        <v>19474.933333333334</v>
      </c>
      <c r="G1315" s="117">
        <f>hsm</f>
        <v>1</v>
      </c>
      <c r="H1315" s="54">
        <f>ROUND(E1315*F1315*G1315,5)</f>
        <v>5842.48</v>
      </c>
      <c r="I1315" s="114"/>
      <c r="J1315" s="110">
        <f>J1307</f>
        <v>0</v>
      </c>
    </row>
    <row r="1316" spans="1:10" s="55" customFormat="1" ht="17.100000000000001" hidden="1" customHeight="1">
      <c r="A1316" s="50" t="e">
        <f t="shared" si="57"/>
        <v>#REF!</v>
      </c>
      <c r="B1316" s="51"/>
      <c r="C1316" s="51" t="s">
        <v>480</v>
      </c>
      <c r="D1316" s="52" t="s">
        <v>4</v>
      </c>
      <c r="E1316" s="112">
        <f>0.08</f>
        <v>0.08</v>
      </c>
      <c r="F1316" s="53">
        <f>'NC,M KS'!P35</f>
        <v>1585193.5</v>
      </c>
      <c r="G1316" s="117">
        <f>hsm</f>
        <v>1</v>
      </c>
      <c r="H1316" s="54">
        <f>ROUND(E1316*F1316*G1316,5)</f>
        <v>126815.48</v>
      </c>
      <c r="I1316" s="114"/>
      <c r="J1316" s="110">
        <f>J1307</f>
        <v>0</v>
      </c>
    </row>
    <row r="1317" spans="1:10" s="55" customFormat="1" ht="17.100000000000001" hidden="1" customHeight="1">
      <c r="A1317" s="50" t="e">
        <f t="shared" si="57"/>
        <v>#REF!</v>
      </c>
      <c r="B1317" s="51"/>
      <c r="C1317" s="51" t="s">
        <v>130</v>
      </c>
      <c r="D1317" s="52" t="s">
        <v>126</v>
      </c>
      <c r="E1317" s="112">
        <f>5</f>
        <v>5</v>
      </c>
      <c r="F1317" s="53"/>
      <c r="G1317" s="117"/>
      <c r="H1317" s="54">
        <f>ROUND(SUM(H1314:H1316)*E1317/100,5)</f>
        <v>6881.4179999999997</v>
      </c>
      <c r="I1317" s="114"/>
      <c r="J1317" s="110">
        <f>J1307</f>
        <v>0</v>
      </c>
    </row>
    <row r="1318" spans="1:10" s="55" customFormat="1" ht="17.100000000000001" hidden="1" customHeight="1">
      <c r="A1318" s="50" t="e">
        <f t="shared" si="57"/>
        <v>#REF!</v>
      </c>
      <c r="B1318" s="51"/>
      <c r="C1318" s="170" t="s">
        <v>556</v>
      </c>
      <c r="D1318" s="171" t="s">
        <v>136</v>
      </c>
      <c r="E1318" s="172" t="s">
        <v>205</v>
      </c>
      <c r="F1318" s="53"/>
      <c r="G1318" s="117"/>
      <c r="H1318" s="173" t="e">
        <f>ROUND(H1308+H1311+H1313,5)</f>
        <v>#REF!</v>
      </c>
      <c r="I1318" s="114"/>
      <c r="J1318" s="110">
        <f>J1307</f>
        <v>0</v>
      </c>
    </row>
    <row r="1319" spans="1:10" s="55" customFormat="1" ht="17.100000000000001" hidden="1" customHeight="1">
      <c r="A1319" s="50" t="e">
        <f t="shared" si="57"/>
        <v>#REF!</v>
      </c>
      <c r="B1319" s="51"/>
      <c r="C1319" s="170" t="s">
        <v>557</v>
      </c>
      <c r="D1319" s="171" t="s">
        <v>204</v>
      </c>
      <c r="E1319" s="172" t="s">
        <v>558</v>
      </c>
      <c r="F1319" s="53"/>
      <c r="G1319" s="117"/>
      <c r="H1319" s="173" t="e">
        <f>SUM(H1320:H1321)</f>
        <v>#REF!</v>
      </c>
      <c r="I1319" s="114"/>
      <c r="J1319" s="110">
        <f>J1307</f>
        <v>0</v>
      </c>
    </row>
    <row r="1320" spans="1:10" s="55" customFormat="1" ht="17.100000000000001" hidden="1" customHeight="1">
      <c r="A1320" s="50" t="e">
        <f t="shared" si="57"/>
        <v>#REF!</v>
      </c>
      <c r="B1320" s="51"/>
      <c r="C1320" s="51" t="s">
        <v>426</v>
      </c>
      <c r="D1320" s="52" t="s">
        <v>559</v>
      </c>
      <c r="E1320" s="116">
        <f>cpc</f>
        <v>0.7</v>
      </c>
      <c r="F1320" s="174"/>
      <c r="G1320" s="175"/>
      <c r="H1320" s="54" t="e">
        <f>E1320*H1311</f>
        <v>#REF!</v>
      </c>
      <c r="I1320" s="114"/>
      <c r="J1320" s="110">
        <f>J1307</f>
        <v>0</v>
      </c>
    </row>
    <row r="1321" spans="1:10" s="55" customFormat="1" ht="17.100000000000001" hidden="1" customHeight="1">
      <c r="A1321" s="50" t="e">
        <f t="shared" si="57"/>
        <v>#REF!</v>
      </c>
      <c r="B1321" s="51"/>
      <c r="C1321" s="78" t="s">
        <v>560</v>
      </c>
      <c r="D1321" s="79" t="s">
        <v>561</v>
      </c>
      <c r="E1321" s="176">
        <f>hmc</f>
        <v>0.05</v>
      </c>
      <c r="F1321" s="53"/>
      <c r="G1321" s="113"/>
      <c r="H1321" s="54" t="e">
        <f>E1321*H1318</f>
        <v>#REF!</v>
      </c>
      <c r="I1321" s="114"/>
      <c r="J1321" s="110">
        <f>J1307</f>
        <v>0</v>
      </c>
    </row>
    <row r="1322" spans="1:10" s="55" customFormat="1" ht="17.100000000000001" hidden="1" customHeight="1">
      <c r="A1322" s="50" t="e">
        <f t="shared" si="57"/>
        <v>#REF!</v>
      </c>
      <c r="B1322" s="51"/>
      <c r="C1322" s="170" t="s">
        <v>562</v>
      </c>
      <c r="D1322" s="171" t="s">
        <v>563</v>
      </c>
      <c r="E1322" s="179">
        <f>tn</f>
        <v>0.06</v>
      </c>
      <c r="F1322" s="177"/>
      <c r="G1322" s="178"/>
      <c r="H1322" s="181" t="e">
        <f>SUM(H1318:H1319)*E1322</f>
        <v>#REF!</v>
      </c>
      <c r="I1322" s="114"/>
      <c r="J1322" s="110">
        <f>J1307</f>
        <v>0</v>
      </c>
    </row>
    <row r="1323" spans="1:10" s="55" customFormat="1" ht="17.100000000000001" hidden="1" customHeight="1">
      <c r="A1323" s="50" t="e">
        <f t="shared" si="57"/>
        <v>#REF!</v>
      </c>
      <c r="B1323" s="51"/>
      <c r="C1323" s="92" t="s">
        <v>1879</v>
      </c>
      <c r="D1323" s="171" t="s">
        <v>227</v>
      </c>
      <c r="E1323" s="180" t="s">
        <v>564</v>
      </c>
      <c r="F1323" s="174"/>
      <c r="G1323" s="175"/>
      <c r="H1323" s="173" t="e">
        <f>SUM(H1324:H1325)</f>
        <v>#REF!</v>
      </c>
      <c r="I1323" s="114"/>
      <c r="J1323" s="110">
        <f>J1307</f>
        <v>0</v>
      </c>
    </row>
    <row r="1324" spans="1:10" s="55" customFormat="1" ht="17.100000000000001" hidden="1" customHeight="1">
      <c r="A1324" s="50" t="e">
        <f t="shared" si="57"/>
        <v>#REF!</v>
      </c>
      <c r="B1324" s="51"/>
      <c r="C1324" s="51" t="s">
        <v>427</v>
      </c>
      <c r="D1324" s="52" t="s">
        <v>428</v>
      </c>
      <c r="E1324" s="1093">
        <f>paks</f>
        <v>0</v>
      </c>
      <c r="F1324" s="174"/>
      <c r="G1324" s="175"/>
      <c r="H1324" s="54" t="e">
        <f>(H1318+H1319+H1322)*E1324</f>
        <v>#REF!</v>
      </c>
      <c r="I1324" s="114"/>
      <c r="J1324" s="110">
        <f>J1307</f>
        <v>0</v>
      </c>
    </row>
    <row r="1325" spans="1:10" s="55" customFormat="1" ht="17.100000000000001" hidden="1" customHeight="1">
      <c r="A1325" s="50" t="e">
        <f t="shared" si="57"/>
        <v>#REF!</v>
      </c>
      <c r="B1325" s="51"/>
      <c r="C1325" s="51" t="s">
        <v>429</v>
      </c>
      <c r="D1325" s="52" t="s">
        <v>430</v>
      </c>
      <c r="E1325" s="1093">
        <f>bcks</f>
        <v>0.03</v>
      </c>
      <c r="F1325" s="53"/>
      <c r="G1325" s="113"/>
      <c r="H1325" s="54" t="e">
        <f>(H1318+H1319+H1322)*E1325</f>
        <v>#REF!</v>
      </c>
      <c r="I1325" s="114"/>
      <c r="J1325" s="110">
        <f>J1307</f>
        <v>0</v>
      </c>
    </row>
    <row r="1326" spans="1:10" s="55" customFormat="1" ht="17.100000000000001" hidden="1" customHeight="1">
      <c r="A1326" s="50" t="e">
        <f t="shared" si="57"/>
        <v>#REF!</v>
      </c>
      <c r="B1326" s="51"/>
      <c r="C1326" s="170" t="s">
        <v>565</v>
      </c>
      <c r="D1326" s="171" t="s">
        <v>218</v>
      </c>
      <c r="E1326" s="172" t="s">
        <v>566</v>
      </c>
      <c r="F1326" s="53"/>
      <c r="G1326" s="113"/>
      <c r="H1326" s="173" t="e">
        <f>H1318+H1319+H1322+H1323</f>
        <v>#REF!</v>
      </c>
      <c r="I1326" s="114"/>
      <c r="J1326" s="110">
        <f>J1307</f>
        <v>0</v>
      </c>
    </row>
    <row r="1327" spans="1:10" s="55" customFormat="1" ht="17.100000000000001" hidden="1" customHeight="1">
      <c r="A1327" s="50" t="e">
        <f t="shared" si="57"/>
        <v>#REF!</v>
      </c>
      <c r="B1327" s="51"/>
      <c r="C1327" s="51" t="s">
        <v>567</v>
      </c>
      <c r="D1327" s="52" t="s">
        <v>222</v>
      </c>
      <c r="E1327" s="112" t="s">
        <v>1917</v>
      </c>
      <c r="F1327" s="174"/>
      <c r="G1327" s="175"/>
      <c r="H1327" s="54" t="e">
        <f>ROUND(H1326*10/100,5)</f>
        <v>#REF!</v>
      </c>
      <c r="I1327" s="114"/>
      <c r="J1327" s="110">
        <f>J1307</f>
        <v>0</v>
      </c>
    </row>
    <row r="1328" spans="1:10" s="55" customFormat="1" ht="17.100000000000001" hidden="1" customHeight="1">
      <c r="A1328" s="50" t="e">
        <f t="shared" ref="A1328:A1391" si="58">IF(B1328&lt;&gt;0,A1327+J1328,A1327)</f>
        <v>#REF!</v>
      </c>
      <c r="B1328" s="51"/>
      <c r="C1328" s="170" t="s">
        <v>568</v>
      </c>
      <c r="D1328" s="171" t="s">
        <v>225</v>
      </c>
      <c r="E1328" s="172" t="s">
        <v>192</v>
      </c>
      <c r="F1328" s="53"/>
      <c r="G1328" s="117"/>
      <c r="H1328" s="56" t="e">
        <f>ROUND(H1326+H1327,5)</f>
        <v>#REF!</v>
      </c>
      <c r="I1328" s="115"/>
      <c r="J1328" s="715">
        <f>J1307</f>
        <v>0</v>
      </c>
    </row>
    <row r="1329" spans="1:10" s="263" customFormat="1" ht="17.100000000000001" hidden="1" customHeight="1">
      <c r="A1329" s="264" t="e">
        <f t="shared" si="58"/>
        <v>#REF!</v>
      </c>
      <c r="B1329" s="265" t="s">
        <v>403</v>
      </c>
      <c r="C1329" s="265" t="s">
        <v>404</v>
      </c>
      <c r="D1329" s="266" t="s">
        <v>345</v>
      </c>
      <c r="E1329" s="270"/>
      <c r="F1329" s="267"/>
      <c r="G1329" s="271"/>
      <c r="H1329" s="268" t="e">
        <f>H1357</f>
        <v>#REF!</v>
      </c>
      <c r="I1329" s="272"/>
      <c r="J1329" s="273">
        <f>IF(SUMIF(Khaosat!$B$6:$B$47,'PT giaKS'!B1329,Khaosat!$I$6:$I$47)&lt;&gt;0,$J$6,0)</f>
        <v>0</v>
      </c>
    </row>
    <row r="1330" spans="1:10" s="55" customFormat="1" ht="17.100000000000001" hidden="1" customHeight="1">
      <c r="A1330" s="50" t="e">
        <f t="shared" si="58"/>
        <v>#REF!</v>
      </c>
      <c r="B1330" s="51"/>
      <c r="C1330" s="51" t="s">
        <v>128</v>
      </c>
      <c r="D1330" s="52" t="s">
        <v>0</v>
      </c>
      <c r="E1330" s="112"/>
      <c r="F1330" s="53"/>
      <c r="G1330" s="117"/>
      <c r="H1330" s="56">
        <f>ROUND(SUM(H1331:H1340),5)</f>
        <v>352060.47360000003</v>
      </c>
      <c r="I1330" s="115"/>
      <c r="J1330" s="110">
        <f>J1329</f>
        <v>0</v>
      </c>
    </row>
    <row r="1331" spans="1:10" s="55" customFormat="1" ht="17.100000000000001" hidden="1" customHeight="1">
      <c r="A1331" s="50" t="e">
        <f t="shared" si="58"/>
        <v>#REF!</v>
      </c>
      <c r="B1331" s="51"/>
      <c r="C1331" s="51" t="s">
        <v>485</v>
      </c>
      <c r="D1331" s="52" t="s">
        <v>451</v>
      </c>
      <c r="E1331" s="112">
        <f>0.05</f>
        <v>0.05</v>
      </c>
      <c r="F1331" s="53">
        <f>VLKS!Q32</f>
        <v>1700000</v>
      </c>
      <c r="G1331" s="117">
        <f t="shared" ref="G1331:G1339" si="59">hsvl</f>
        <v>1</v>
      </c>
      <c r="H1331" s="54">
        <f t="shared" ref="H1331:H1339" si="60">ROUND(E1331*F1331*G1331,5)</f>
        <v>85000</v>
      </c>
      <c r="I1331" s="114"/>
      <c r="J1331" s="110">
        <f>J1329</f>
        <v>0</v>
      </c>
    </row>
    <row r="1332" spans="1:10" s="55" customFormat="1" ht="17.100000000000001" hidden="1" customHeight="1">
      <c r="A1332" s="50" t="e">
        <f t="shared" si="58"/>
        <v>#REF!</v>
      </c>
      <c r="B1332" s="51"/>
      <c r="C1332" s="51" t="s">
        <v>486</v>
      </c>
      <c r="D1332" s="52" t="s">
        <v>82</v>
      </c>
      <c r="E1332" s="112">
        <f>0.005</f>
        <v>5.0000000000000001E-3</v>
      </c>
      <c r="F1332" s="53">
        <f>VLKS!Q61</f>
        <v>255000</v>
      </c>
      <c r="G1332" s="117">
        <f t="shared" si="59"/>
        <v>1</v>
      </c>
      <c r="H1332" s="54">
        <f t="shared" si="60"/>
        <v>1275</v>
      </c>
      <c r="I1332" s="114"/>
      <c r="J1332" s="110">
        <f>J1329</f>
        <v>0</v>
      </c>
    </row>
    <row r="1333" spans="1:10" s="55" customFormat="1" ht="17.100000000000001" hidden="1" customHeight="1">
      <c r="A1333" s="50" t="e">
        <f t="shared" si="58"/>
        <v>#REF!</v>
      </c>
      <c r="B1333" s="51"/>
      <c r="C1333" s="51" t="s">
        <v>487</v>
      </c>
      <c r="D1333" s="52" t="s">
        <v>82</v>
      </c>
      <c r="E1333" s="112">
        <f>0.0001</f>
        <v>1E-4</v>
      </c>
      <c r="F1333" s="53">
        <f>VLKS!Q8</f>
        <v>78760</v>
      </c>
      <c r="G1333" s="117">
        <f t="shared" si="59"/>
        <v>1</v>
      </c>
      <c r="H1333" s="54">
        <f t="shared" si="60"/>
        <v>7.8760000000000003</v>
      </c>
      <c r="I1333" s="114"/>
      <c r="J1333" s="110">
        <f>J1329</f>
        <v>0</v>
      </c>
    </row>
    <row r="1334" spans="1:10" s="55" customFormat="1" ht="17.100000000000001" hidden="1" customHeight="1">
      <c r="A1334" s="50" t="e">
        <f t="shared" si="58"/>
        <v>#REF!</v>
      </c>
      <c r="B1334" s="51"/>
      <c r="C1334" s="51" t="s">
        <v>488</v>
      </c>
      <c r="D1334" s="52" t="s">
        <v>82</v>
      </c>
      <c r="E1334" s="112">
        <f>0.05</f>
        <v>0.05</v>
      </c>
      <c r="F1334" s="53">
        <f>VLKS!Q54</f>
        <v>15000</v>
      </c>
      <c r="G1334" s="117">
        <f t="shared" si="59"/>
        <v>1</v>
      </c>
      <c r="H1334" s="54">
        <f t="shared" si="60"/>
        <v>750</v>
      </c>
      <c r="I1334" s="114"/>
      <c r="J1334" s="110">
        <f>J1329</f>
        <v>0</v>
      </c>
    </row>
    <row r="1335" spans="1:10" s="55" customFormat="1" ht="17.100000000000001" hidden="1" customHeight="1">
      <c r="A1335" s="50" t="e">
        <f t="shared" si="58"/>
        <v>#REF!</v>
      </c>
      <c r="B1335" s="51"/>
      <c r="C1335" s="51" t="s">
        <v>489</v>
      </c>
      <c r="D1335" s="52" t="s">
        <v>82</v>
      </c>
      <c r="E1335" s="112">
        <f>0.02</f>
        <v>0.02</v>
      </c>
      <c r="F1335" s="53">
        <f>VLKS!Q18</f>
        <v>40000</v>
      </c>
      <c r="G1335" s="117">
        <f t="shared" si="59"/>
        <v>1</v>
      </c>
      <c r="H1335" s="54">
        <f t="shared" si="60"/>
        <v>800</v>
      </c>
      <c r="I1335" s="114"/>
      <c r="J1335" s="110">
        <f>J1329</f>
        <v>0</v>
      </c>
    </row>
    <row r="1336" spans="1:10" s="55" customFormat="1" ht="17.100000000000001" hidden="1" customHeight="1">
      <c r="A1336" s="50" t="e">
        <f t="shared" si="58"/>
        <v>#REF!</v>
      </c>
      <c r="B1336" s="51"/>
      <c r="C1336" s="51" t="s">
        <v>490</v>
      </c>
      <c r="D1336" s="52" t="s">
        <v>82</v>
      </c>
      <c r="E1336" s="112">
        <f>0.05</f>
        <v>0.05</v>
      </c>
      <c r="F1336" s="53">
        <f>VLKS!Q29</f>
        <v>10000</v>
      </c>
      <c r="G1336" s="117">
        <f t="shared" si="59"/>
        <v>1</v>
      </c>
      <c r="H1336" s="54">
        <f t="shared" si="60"/>
        <v>500</v>
      </c>
      <c r="I1336" s="114"/>
      <c r="J1336" s="110">
        <f>J1329</f>
        <v>0</v>
      </c>
    </row>
    <row r="1337" spans="1:10" s="55" customFormat="1" ht="17.100000000000001" hidden="1" customHeight="1">
      <c r="A1337" s="50" t="e">
        <f t="shared" si="58"/>
        <v>#REF!</v>
      </c>
      <c r="B1337" s="51"/>
      <c r="C1337" s="51" t="s">
        <v>491</v>
      </c>
      <c r="D1337" s="52" t="s">
        <v>26</v>
      </c>
      <c r="E1337" s="112">
        <f>4</f>
        <v>4</v>
      </c>
      <c r="F1337" s="53">
        <f>ROUND(VLKS!Q20/1000,5)</f>
        <v>43887</v>
      </c>
      <c r="G1337" s="117">
        <f t="shared" si="59"/>
        <v>1</v>
      </c>
      <c r="H1337" s="54">
        <f t="shared" si="60"/>
        <v>175548</v>
      </c>
      <c r="I1337" s="114"/>
      <c r="J1337" s="110">
        <f>J1329</f>
        <v>0</v>
      </c>
    </row>
    <row r="1338" spans="1:10" s="55" customFormat="1" ht="17.100000000000001" hidden="1" customHeight="1">
      <c r="A1338" s="50" t="e">
        <f t="shared" si="58"/>
        <v>#REF!</v>
      </c>
      <c r="B1338" s="51"/>
      <c r="C1338" s="51" t="s">
        <v>476</v>
      </c>
      <c r="D1338" s="52" t="s">
        <v>7</v>
      </c>
      <c r="E1338" s="112">
        <f>0.5</f>
        <v>0.5</v>
      </c>
      <c r="F1338" s="53">
        <f>VLKS!Q60</f>
        <v>104545</v>
      </c>
      <c r="G1338" s="117">
        <f t="shared" si="59"/>
        <v>1</v>
      </c>
      <c r="H1338" s="54">
        <f t="shared" si="60"/>
        <v>52272.5</v>
      </c>
      <c r="I1338" s="114"/>
      <c r="J1338" s="110">
        <f>J1329</f>
        <v>0</v>
      </c>
    </row>
    <row r="1339" spans="1:10" s="55" customFormat="1" ht="17.100000000000001" hidden="1" customHeight="1">
      <c r="A1339" s="50" t="e">
        <f t="shared" si="58"/>
        <v>#REF!</v>
      </c>
      <c r="B1339" s="51"/>
      <c r="C1339" s="51" t="s">
        <v>492</v>
      </c>
      <c r="D1339" s="52" t="s">
        <v>26</v>
      </c>
      <c r="E1339" s="112">
        <f>0.4</f>
        <v>0.4</v>
      </c>
      <c r="F1339" s="53">
        <f>ROUND(VLKS!Q33/1000,5)</f>
        <v>9754</v>
      </c>
      <c r="G1339" s="117">
        <f t="shared" si="59"/>
        <v>1</v>
      </c>
      <c r="H1339" s="54">
        <f t="shared" si="60"/>
        <v>3901.6</v>
      </c>
      <c r="I1339" s="114"/>
      <c r="J1339" s="110">
        <f>J1329</f>
        <v>0</v>
      </c>
    </row>
    <row r="1340" spans="1:10" s="55" customFormat="1" ht="17.100000000000001" hidden="1" customHeight="1">
      <c r="A1340" s="50" t="e">
        <f t="shared" si="58"/>
        <v>#REF!</v>
      </c>
      <c r="B1340" s="51"/>
      <c r="C1340" s="51" t="s">
        <v>127</v>
      </c>
      <c r="D1340" s="52" t="s">
        <v>126</v>
      </c>
      <c r="E1340" s="112">
        <f>10</f>
        <v>10</v>
      </c>
      <c r="F1340" s="53"/>
      <c r="G1340" s="117"/>
      <c r="H1340" s="54">
        <f>ROUND(SUM(H1331:H1339)*E1340/100,5)</f>
        <v>32005.497599999999</v>
      </c>
      <c r="I1340" s="114"/>
      <c r="J1340" s="110">
        <f>J1329</f>
        <v>0</v>
      </c>
    </row>
    <row r="1341" spans="1:10" s="55" customFormat="1" ht="17.100000000000001" hidden="1" customHeight="1">
      <c r="A1341" s="50" t="e">
        <f t="shared" si="58"/>
        <v>#REF!</v>
      </c>
      <c r="B1341" s="51"/>
      <c r="C1341" s="51" t="s">
        <v>125</v>
      </c>
      <c r="D1341" s="52" t="s">
        <v>0</v>
      </c>
      <c r="E1341" s="112"/>
      <c r="F1341" s="53"/>
      <c r="G1341" s="117"/>
      <c r="H1341" s="56" t="e">
        <f>ROUND(SUM(H1342:H1342),5)</f>
        <v>#REF!</v>
      </c>
      <c r="I1341" s="115"/>
      <c r="J1341" s="110">
        <f>J1329</f>
        <v>0</v>
      </c>
    </row>
    <row r="1342" spans="1:10" s="55" customFormat="1" ht="17.100000000000001" hidden="1" customHeight="1">
      <c r="A1342" s="50" t="e">
        <f t="shared" si="58"/>
        <v>#REF!</v>
      </c>
      <c r="B1342" s="51"/>
      <c r="C1342" s="51" t="s">
        <v>424</v>
      </c>
      <c r="D1342" s="52" t="s">
        <v>3</v>
      </c>
      <c r="E1342" s="112">
        <f>2.5</f>
        <v>2.5</v>
      </c>
      <c r="F1342" s="53" t="e">
        <f>'NC,M KS'!P6</f>
        <v>#REF!</v>
      </c>
      <c r="G1342" s="117">
        <f>hsnc</f>
        <v>1</v>
      </c>
      <c r="H1342" s="54" t="e">
        <f>ROUND(E1342*F1342*G1342,5)</f>
        <v>#REF!</v>
      </c>
      <c r="I1342" s="114"/>
      <c r="J1342" s="110">
        <f>J1329</f>
        <v>0</v>
      </c>
    </row>
    <row r="1343" spans="1:10" s="55" customFormat="1" ht="17.100000000000001" hidden="1" customHeight="1">
      <c r="A1343" s="50" t="e">
        <f t="shared" si="58"/>
        <v>#REF!</v>
      </c>
      <c r="B1343" s="51"/>
      <c r="C1343" s="51" t="s">
        <v>124</v>
      </c>
      <c r="D1343" s="52" t="s">
        <v>0</v>
      </c>
      <c r="E1343" s="112"/>
      <c r="F1343" s="53"/>
      <c r="G1343" s="117"/>
      <c r="H1343" s="56">
        <f>ROUND(SUM(H1344:H1346),5)</f>
        <v>842845.37</v>
      </c>
      <c r="I1343" s="115"/>
      <c r="J1343" s="110">
        <f>J1329</f>
        <v>0</v>
      </c>
    </row>
    <row r="1344" spans="1:10" s="55" customFormat="1" ht="17.100000000000001" hidden="1" customHeight="1">
      <c r="A1344" s="50" t="e">
        <f t="shared" si="58"/>
        <v>#REF!</v>
      </c>
      <c r="B1344" s="51"/>
      <c r="C1344" s="51" t="s">
        <v>483</v>
      </c>
      <c r="D1344" s="52" t="s">
        <v>4</v>
      </c>
      <c r="E1344" s="112">
        <f>1.8</f>
        <v>1.8</v>
      </c>
      <c r="F1344" s="53">
        <f>'NC,M KS'!P16</f>
        <v>16568</v>
      </c>
      <c r="G1344" s="117">
        <f>hsm</f>
        <v>1</v>
      </c>
      <c r="H1344" s="54">
        <f>ROUND(E1344*F1344*G1344,5)</f>
        <v>29822.400000000001</v>
      </c>
      <c r="I1344" s="114"/>
      <c r="J1344" s="110">
        <f>J1329</f>
        <v>0</v>
      </c>
    </row>
    <row r="1345" spans="1:10" s="55" customFormat="1" ht="17.100000000000001" hidden="1" customHeight="1">
      <c r="A1345" s="50" t="e">
        <f t="shared" si="58"/>
        <v>#REF!</v>
      </c>
      <c r="B1345" s="51"/>
      <c r="C1345" s="51" t="s">
        <v>493</v>
      </c>
      <c r="D1345" s="52" t="s">
        <v>4</v>
      </c>
      <c r="E1345" s="112">
        <f>1.8</f>
        <v>1.8</v>
      </c>
      <c r="F1345" s="53">
        <f>'NC,M KS'!P34</f>
        <v>11347.9</v>
      </c>
      <c r="G1345" s="117">
        <f>hsm</f>
        <v>1</v>
      </c>
      <c r="H1345" s="54">
        <f>ROUND(E1345*F1345*G1345,5)</f>
        <v>20426.22</v>
      </c>
      <c r="I1345" s="114"/>
      <c r="J1345" s="110">
        <f>J1329</f>
        <v>0</v>
      </c>
    </row>
    <row r="1346" spans="1:10" s="55" customFormat="1" ht="17.100000000000001" hidden="1" customHeight="1">
      <c r="A1346" s="50" t="e">
        <f t="shared" si="58"/>
        <v>#REF!</v>
      </c>
      <c r="B1346" s="51"/>
      <c r="C1346" s="51" t="s">
        <v>480</v>
      </c>
      <c r="D1346" s="52" t="s">
        <v>4</v>
      </c>
      <c r="E1346" s="112">
        <f>0.5</f>
        <v>0.5</v>
      </c>
      <c r="F1346" s="53">
        <f>'NC,M KS'!P35</f>
        <v>1585193.5</v>
      </c>
      <c r="G1346" s="117">
        <f>hsm</f>
        <v>1</v>
      </c>
      <c r="H1346" s="54">
        <f>ROUND(E1346*F1346*G1346,5)</f>
        <v>792596.75</v>
      </c>
      <c r="I1346" s="114"/>
      <c r="J1346" s="110">
        <f>J1329</f>
        <v>0</v>
      </c>
    </row>
    <row r="1347" spans="1:10" s="55" customFormat="1" ht="17.100000000000001" hidden="1" customHeight="1">
      <c r="A1347" s="50" t="e">
        <f t="shared" si="58"/>
        <v>#REF!</v>
      </c>
      <c r="B1347" s="51"/>
      <c r="C1347" s="170" t="s">
        <v>556</v>
      </c>
      <c r="D1347" s="171" t="s">
        <v>136</v>
      </c>
      <c r="E1347" s="172" t="s">
        <v>205</v>
      </c>
      <c r="F1347" s="53"/>
      <c r="G1347" s="117"/>
      <c r="H1347" s="173" t="e">
        <f>ROUND(H1330+H1341+H1343,5)</f>
        <v>#REF!</v>
      </c>
      <c r="I1347" s="114"/>
      <c r="J1347" s="110">
        <f>J1329</f>
        <v>0</v>
      </c>
    </row>
    <row r="1348" spans="1:10" s="55" customFormat="1" ht="17.100000000000001" hidden="1" customHeight="1">
      <c r="A1348" s="50" t="e">
        <f t="shared" si="58"/>
        <v>#REF!</v>
      </c>
      <c r="B1348" s="51"/>
      <c r="C1348" s="170" t="s">
        <v>557</v>
      </c>
      <c r="D1348" s="171" t="s">
        <v>204</v>
      </c>
      <c r="E1348" s="172" t="s">
        <v>558</v>
      </c>
      <c r="F1348" s="53"/>
      <c r="G1348" s="117"/>
      <c r="H1348" s="173" t="e">
        <f>SUM(H1349:H1350)</f>
        <v>#REF!</v>
      </c>
      <c r="I1348" s="114"/>
      <c r="J1348" s="110">
        <f>J1329</f>
        <v>0</v>
      </c>
    </row>
    <row r="1349" spans="1:10" s="55" customFormat="1" ht="17.100000000000001" hidden="1" customHeight="1">
      <c r="A1349" s="50" t="e">
        <f t="shared" si="58"/>
        <v>#REF!</v>
      </c>
      <c r="B1349" s="51"/>
      <c r="C1349" s="51" t="s">
        <v>426</v>
      </c>
      <c r="D1349" s="52" t="s">
        <v>559</v>
      </c>
      <c r="E1349" s="116">
        <f>cpc</f>
        <v>0.7</v>
      </c>
      <c r="F1349" s="174"/>
      <c r="G1349" s="175"/>
      <c r="H1349" s="54" t="e">
        <f>E1349*H1341</f>
        <v>#REF!</v>
      </c>
      <c r="I1349" s="114"/>
      <c r="J1349" s="110">
        <f>J1329</f>
        <v>0</v>
      </c>
    </row>
    <row r="1350" spans="1:10" s="55" customFormat="1" ht="17.100000000000001" hidden="1" customHeight="1">
      <c r="A1350" s="50" t="e">
        <f t="shared" si="58"/>
        <v>#REF!</v>
      </c>
      <c r="B1350" s="51"/>
      <c r="C1350" s="78" t="s">
        <v>560</v>
      </c>
      <c r="D1350" s="79" t="s">
        <v>561</v>
      </c>
      <c r="E1350" s="176">
        <f>hmc</f>
        <v>0.05</v>
      </c>
      <c r="F1350" s="53"/>
      <c r="G1350" s="113"/>
      <c r="H1350" s="54" t="e">
        <f>E1350*H1347</f>
        <v>#REF!</v>
      </c>
      <c r="I1350" s="114"/>
      <c r="J1350" s="715">
        <f>J1329</f>
        <v>0</v>
      </c>
    </row>
    <row r="1351" spans="1:10" s="55" customFormat="1" ht="17.100000000000001" hidden="1" customHeight="1">
      <c r="A1351" s="50" t="e">
        <f t="shared" si="58"/>
        <v>#REF!</v>
      </c>
      <c r="B1351" s="51"/>
      <c r="C1351" s="170" t="s">
        <v>562</v>
      </c>
      <c r="D1351" s="171" t="s">
        <v>563</v>
      </c>
      <c r="E1351" s="179">
        <f>tn</f>
        <v>0.06</v>
      </c>
      <c r="F1351" s="177"/>
      <c r="G1351" s="178"/>
      <c r="H1351" s="181" t="e">
        <f>SUM(H1347:H1348)*E1351</f>
        <v>#REF!</v>
      </c>
      <c r="I1351" s="114"/>
      <c r="J1351" s="715">
        <f>J1329</f>
        <v>0</v>
      </c>
    </row>
    <row r="1352" spans="1:10" s="55" customFormat="1" ht="17.100000000000001" hidden="1" customHeight="1">
      <c r="A1352" s="50" t="e">
        <f t="shared" si="58"/>
        <v>#REF!</v>
      </c>
      <c r="B1352" s="51"/>
      <c r="C1352" s="92" t="s">
        <v>1879</v>
      </c>
      <c r="D1352" s="171" t="s">
        <v>227</v>
      </c>
      <c r="E1352" s="180" t="s">
        <v>564</v>
      </c>
      <c r="F1352" s="174"/>
      <c r="G1352" s="175"/>
      <c r="H1352" s="173" t="e">
        <f>SUM(H1353:H1354)</f>
        <v>#REF!</v>
      </c>
      <c r="I1352" s="114"/>
      <c r="J1352" s="715">
        <f>J1329</f>
        <v>0</v>
      </c>
    </row>
    <row r="1353" spans="1:10" s="55" customFormat="1" ht="17.100000000000001" hidden="1" customHeight="1">
      <c r="A1353" s="50" t="e">
        <f t="shared" si="58"/>
        <v>#REF!</v>
      </c>
      <c r="B1353" s="51"/>
      <c r="C1353" s="51" t="s">
        <v>427</v>
      </c>
      <c r="D1353" s="52" t="s">
        <v>428</v>
      </c>
      <c r="E1353" s="1093">
        <f>paks</f>
        <v>0</v>
      </c>
      <c r="F1353" s="174"/>
      <c r="G1353" s="175"/>
      <c r="H1353" s="54" t="e">
        <f>(H1347+H1348+H1351)*E1353</f>
        <v>#REF!</v>
      </c>
      <c r="I1353" s="114"/>
      <c r="J1353" s="715">
        <f>J1329</f>
        <v>0</v>
      </c>
    </row>
    <row r="1354" spans="1:10" s="55" customFormat="1" ht="17.100000000000001" hidden="1" customHeight="1">
      <c r="A1354" s="50" t="e">
        <f t="shared" si="58"/>
        <v>#REF!</v>
      </c>
      <c r="B1354" s="51"/>
      <c r="C1354" s="51" t="s">
        <v>429</v>
      </c>
      <c r="D1354" s="52" t="s">
        <v>430</v>
      </c>
      <c r="E1354" s="1093">
        <f>bcks</f>
        <v>0.03</v>
      </c>
      <c r="F1354" s="53"/>
      <c r="G1354" s="113"/>
      <c r="H1354" s="54" t="e">
        <f>(H1347+H1348+H1351)*E1354</f>
        <v>#REF!</v>
      </c>
      <c r="I1354" s="114"/>
      <c r="J1354" s="715">
        <f>J1329</f>
        <v>0</v>
      </c>
    </row>
    <row r="1355" spans="1:10" s="55" customFormat="1" ht="17.100000000000001" hidden="1" customHeight="1">
      <c r="A1355" s="50" t="e">
        <f t="shared" si="58"/>
        <v>#REF!</v>
      </c>
      <c r="B1355" s="51"/>
      <c r="C1355" s="170" t="s">
        <v>565</v>
      </c>
      <c r="D1355" s="171" t="s">
        <v>218</v>
      </c>
      <c r="E1355" s="172" t="s">
        <v>566</v>
      </c>
      <c r="F1355" s="53"/>
      <c r="G1355" s="113"/>
      <c r="H1355" s="173" t="e">
        <f>H1347+H1348+H1351+H1352</f>
        <v>#REF!</v>
      </c>
      <c r="I1355" s="114"/>
      <c r="J1355" s="715">
        <f>J1329</f>
        <v>0</v>
      </c>
    </row>
    <row r="1356" spans="1:10" s="55" customFormat="1" ht="17.100000000000001" hidden="1" customHeight="1">
      <c r="A1356" s="50" t="e">
        <f t="shared" si="58"/>
        <v>#REF!</v>
      </c>
      <c r="B1356" s="51"/>
      <c r="C1356" s="51" t="s">
        <v>567</v>
      </c>
      <c r="D1356" s="52" t="s">
        <v>222</v>
      </c>
      <c r="E1356" s="112" t="s">
        <v>1917</v>
      </c>
      <c r="F1356" s="174"/>
      <c r="G1356" s="175"/>
      <c r="H1356" s="54" t="e">
        <f>ROUND(H1355*10/100,5)</f>
        <v>#REF!</v>
      </c>
      <c r="I1356" s="114"/>
      <c r="J1356" s="715">
        <f>J1329</f>
        <v>0</v>
      </c>
    </row>
    <row r="1357" spans="1:10" s="55" customFormat="1" ht="17.100000000000001" hidden="1" customHeight="1">
      <c r="A1357" s="50" t="e">
        <f t="shared" si="58"/>
        <v>#REF!</v>
      </c>
      <c r="B1357" s="51"/>
      <c r="C1357" s="170" t="s">
        <v>568</v>
      </c>
      <c r="D1357" s="171" t="s">
        <v>225</v>
      </c>
      <c r="E1357" s="172" t="s">
        <v>192</v>
      </c>
      <c r="F1357" s="53"/>
      <c r="G1357" s="117"/>
      <c r="H1357" s="56" t="e">
        <f>ROUND(H1355+H1356,5)</f>
        <v>#REF!</v>
      </c>
      <c r="I1357" s="115"/>
      <c r="J1357" s="715">
        <f>J1329</f>
        <v>0</v>
      </c>
    </row>
    <row r="1358" spans="1:10" s="263" customFormat="1" ht="17.100000000000001" hidden="1" customHeight="1">
      <c r="A1358" s="264" t="e">
        <f t="shared" si="58"/>
        <v>#REF!</v>
      </c>
      <c r="B1358" s="265" t="s">
        <v>330</v>
      </c>
      <c r="C1358" s="265" t="s">
        <v>331</v>
      </c>
      <c r="D1358" s="266" t="s">
        <v>332</v>
      </c>
      <c r="E1358" s="270"/>
      <c r="F1358" s="267"/>
      <c r="G1358" s="271"/>
      <c r="H1358" s="268" t="e">
        <f>H1379</f>
        <v>#REF!</v>
      </c>
      <c r="I1358" s="272"/>
      <c r="J1358" s="273" t="e">
        <f>IF(SUMIF(Khaosat!$B$6:$B$47,'PT giaKS'!B1358,Khaosat!$I$6:$I$47)&lt;&gt;0,$J$6,0)</f>
        <v>#REF!</v>
      </c>
    </row>
    <row r="1359" spans="1:10" s="55" customFormat="1" ht="17.100000000000001" hidden="1" customHeight="1">
      <c r="A1359" s="50" t="e">
        <f t="shared" si="58"/>
        <v>#REF!</v>
      </c>
      <c r="B1359" s="51"/>
      <c r="C1359" s="51" t="s">
        <v>128</v>
      </c>
      <c r="D1359" s="52" t="s">
        <v>0</v>
      </c>
      <c r="E1359" s="112"/>
      <c r="F1359" s="53"/>
      <c r="G1359" s="117"/>
      <c r="H1359" s="56">
        <f>ROUND(SUM(H1360:H1362),5)</f>
        <v>6658.08</v>
      </c>
      <c r="I1359" s="115"/>
      <c r="J1359" s="110" t="e">
        <f>J1358</f>
        <v>#REF!</v>
      </c>
    </row>
    <row r="1360" spans="1:10" s="55" customFormat="1" ht="17.100000000000001" hidden="1" customHeight="1">
      <c r="A1360" s="50" t="e">
        <f t="shared" si="58"/>
        <v>#REF!</v>
      </c>
      <c r="B1360" s="51"/>
      <c r="C1360" s="51" t="s">
        <v>494</v>
      </c>
      <c r="D1360" s="52" t="s">
        <v>495</v>
      </c>
      <c r="E1360" s="112">
        <f>2.88</f>
        <v>2.88</v>
      </c>
      <c r="F1360" s="53">
        <f>VLKS!Q58</f>
        <v>1685</v>
      </c>
      <c r="G1360" s="117">
        <f>hsvl</f>
        <v>1</v>
      </c>
      <c r="H1360" s="54">
        <f>ROUND(E1360*F1360*G1360,5)</f>
        <v>4852.8</v>
      </c>
      <c r="I1360" s="114"/>
      <c r="J1360" s="110" t="e">
        <f>J1358</f>
        <v>#REF!</v>
      </c>
    </row>
    <row r="1361" spans="1:10" s="55" customFormat="1" ht="17.100000000000001" hidden="1" customHeight="1">
      <c r="A1361" s="50" t="e">
        <f t="shared" si="58"/>
        <v>#REF!</v>
      </c>
      <c r="B1361" s="51"/>
      <c r="C1361" s="51" t="s">
        <v>496</v>
      </c>
      <c r="D1361" s="52" t="s">
        <v>82</v>
      </c>
      <c r="E1361" s="112">
        <v>0.02</v>
      </c>
      <c r="F1361" s="53">
        <f>VLKS!Q40</f>
        <v>60000</v>
      </c>
      <c r="G1361" s="117">
        <f>hsvl</f>
        <v>1</v>
      </c>
      <c r="H1361" s="54">
        <f>ROUND(E1361*F1361*G1361,5)</f>
        <v>1200</v>
      </c>
      <c r="I1361" s="114"/>
      <c r="J1361" s="110" t="e">
        <f>J1358</f>
        <v>#REF!</v>
      </c>
    </row>
    <row r="1362" spans="1:10" s="55" customFormat="1" ht="17.100000000000001" hidden="1" customHeight="1">
      <c r="A1362" s="50" t="e">
        <f t="shared" si="58"/>
        <v>#REF!</v>
      </c>
      <c r="B1362" s="51"/>
      <c r="C1362" s="51" t="s">
        <v>127</v>
      </c>
      <c r="D1362" s="52" t="s">
        <v>126</v>
      </c>
      <c r="E1362" s="112">
        <f>10</f>
        <v>10</v>
      </c>
      <c r="F1362" s="53"/>
      <c r="G1362" s="117"/>
      <c r="H1362" s="54">
        <f>ROUND(SUM(H1360:H1361)*E1362/100,5)</f>
        <v>605.28</v>
      </c>
      <c r="I1362" s="114"/>
      <c r="J1362" s="110" t="e">
        <f>J1358</f>
        <v>#REF!</v>
      </c>
    </row>
    <row r="1363" spans="1:10" s="55" customFormat="1" ht="17.100000000000001" hidden="1" customHeight="1">
      <c r="A1363" s="50" t="e">
        <f t="shared" si="58"/>
        <v>#REF!</v>
      </c>
      <c r="B1363" s="51"/>
      <c r="C1363" s="51" t="s">
        <v>125</v>
      </c>
      <c r="D1363" s="52" t="s">
        <v>0</v>
      </c>
      <c r="E1363" s="112"/>
      <c r="F1363" s="53"/>
      <c r="G1363" s="117"/>
      <c r="H1363" s="56" t="e">
        <f>ROUND(SUM(H1364:H1364),5)</f>
        <v>#REF!</v>
      </c>
      <c r="I1363" s="115"/>
      <c r="J1363" s="110" t="e">
        <f>J1358</f>
        <v>#REF!</v>
      </c>
    </row>
    <row r="1364" spans="1:10" s="55" customFormat="1" ht="17.100000000000001" hidden="1" customHeight="1">
      <c r="A1364" s="50" t="e">
        <f t="shared" si="58"/>
        <v>#REF!</v>
      </c>
      <c r="B1364" s="51"/>
      <c r="C1364" s="51" t="s">
        <v>424</v>
      </c>
      <c r="D1364" s="52" t="s">
        <v>3</v>
      </c>
      <c r="E1364" s="112">
        <f>1.14</f>
        <v>1.1399999999999999</v>
      </c>
      <c r="F1364" s="53" t="e">
        <f>'NC,M KS'!P6</f>
        <v>#REF!</v>
      </c>
      <c r="G1364" s="117">
        <f>hsnc</f>
        <v>1</v>
      </c>
      <c r="H1364" s="54" t="e">
        <f>ROUND(E1364*F1364*G1364,5)</f>
        <v>#REF!</v>
      </c>
      <c r="I1364" s="114"/>
      <c r="J1364" s="110" t="e">
        <f>J1358</f>
        <v>#REF!</v>
      </c>
    </row>
    <row r="1365" spans="1:10" s="55" customFormat="1" ht="17.100000000000001" hidden="1" customHeight="1">
      <c r="A1365" s="50" t="e">
        <f t="shared" si="58"/>
        <v>#REF!</v>
      </c>
      <c r="B1365" s="51"/>
      <c r="C1365" s="51" t="s">
        <v>124</v>
      </c>
      <c r="D1365" s="52" t="s">
        <v>0</v>
      </c>
      <c r="E1365" s="112"/>
      <c r="F1365" s="53"/>
      <c r="G1365" s="117"/>
      <c r="H1365" s="56">
        <f>ROUND(SUM(H1366:H1368),5)</f>
        <v>58280.546710000002</v>
      </c>
      <c r="I1365" s="115"/>
      <c r="J1365" s="110" t="e">
        <f>J1358</f>
        <v>#REF!</v>
      </c>
    </row>
    <row r="1366" spans="1:10" s="55" customFormat="1" ht="17.100000000000001" hidden="1" customHeight="1">
      <c r="A1366" s="50" t="e">
        <f t="shared" si="58"/>
        <v>#REF!</v>
      </c>
      <c r="B1366" s="51"/>
      <c r="C1366" s="51" t="s">
        <v>497</v>
      </c>
      <c r="D1366" s="52" t="s">
        <v>4</v>
      </c>
      <c r="E1366" s="112">
        <f>3.6</f>
        <v>3.6</v>
      </c>
      <c r="F1366" s="53">
        <f>'NC,M KS'!P24</f>
        <v>15203.1</v>
      </c>
      <c r="G1366" s="117">
        <f>hsm</f>
        <v>1</v>
      </c>
      <c r="H1366" s="54">
        <f>ROUND(E1366*F1366*G1366,5)</f>
        <v>54731.16</v>
      </c>
      <c r="I1366" s="114"/>
      <c r="J1366" s="110" t="e">
        <f>J1358</f>
        <v>#REF!</v>
      </c>
    </row>
    <row r="1367" spans="1:10" s="55" customFormat="1" ht="17.100000000000001" hidden="1" customHeight="1">
      <c r="A1367" s="50" t="e">
        <f t="shared" si="58"/>
        <v>#REF!</v>
      </c>
      <c r="B1367" s="51"/>
      <c r="C1367" s="51" t="s">
        <v>498</v>
      </c>
      <c r="D1367" s="52" t="s">
        <v>4</v>
      </c>
      <c r="E1367" s="112">
        <f>0.077</f>
        <v>7.6999999999999999E-2</v>
      </c>
      <c r="F1367" s="53">
        <f>'NC,M KS'!P12</f>
        <v>10053.540000000001</v>
      </c>
      <c r="G1367" s="117">
        <f>hsm</f>
        <v>1</v>
      </c>
      <c r="H1367" s="54">
        <f>ROUND(E1367*F1367*G1367,5)</f>
        <v>774.12257999999997</v>
      </c>
      <c r="I1367" s="114"/>
      <c r="J1367" s="110" t="e">
        <f>J1358</f>
        <v>#REF!</v>
      </c>
    </row>
    <row r="1368" spans="1:10" s="55" customFormat="1" ht="17.100000000000001" hidden="1" customHeight="1">
      <c r="A1368" s="50" t="e">
        <f t="shared" si="58"/>
        <v>#REF!</v>
      </c>
      <c r="B1368" s="51"/>
      <c r="C1368" s="51" t="s">
        <v>130</v>
      </c>
      <c r="D1368" s="52" t="s">
        <v>126</v>
      </c>
      <c r="E1368" s="112">
        <f>5</f>
        <v>5</v>
      </c>
      <c r="F1368" s="53"/>
      <c r="G1368" s="117"/>
      <c r="H1368" s="54">
        <f>ROUND(SUM(H1366:H1367)*E1368/100,5)</f>
        <v>2775.26413</v>
      </c>
      <c r="I1368" s="114"/>
      <c r="J1368" s="110" t="e">
        <f>J1358</f>
        <v>#REF!</v>
      </c>
    </row>
    <row r="1369" spans="1:10" s="55" customFormat="1" ht="17.100000000000001" hidden="1" customHeight="1">
      <c r="A1369" s="50" t="e">
        <f t="shared" si="58"/>
        <v>#REF!</v>
      </c>
      <c r="B1369" s="51"/>
      <c r="C1369" s="170" t="s">
        <v>556</v>
      </c>
      <c r="D1369" s="171" t="s">
        <v>136</v>
      </c>
      <c r="E1369" s="172" t="s">
        <v>205</v>
      </c>
      <c r="F1369" s="53"/>
      <c r="G1369" s="117"/>
      <c r="H1369" s="173" t="e">
        <f>ROUND(H1359+H1363+H1365,5)</f>
        <v>#REF!</v>
      </c>
      <c r="I1369" s="114"/>
      <c r="J1369" s="110" t="e">
        <f>J1358</f>
        <v>#REF!</v>
      </c>
    </row>
    <row r="1370" spans="1:10" s="55" customFormat="1" ht="17.100000000000001" hidden="1" customHeight="1">
      <c r="A1370" s="50" t="e">
        <f t="shared" si="58"/>
        <v>#REF!</v>
      </c>
      <c r="B1370" s="51"/>
      <c r="C1370" s="170" t="s">
        <v>557</v>
      </c>
      <c r="D1370" s="171" t="s">
        <v>204</v>
      </c>
      <c r="E1370" s="172" t="s">
        <v>558</v>
      </c>
      <c r="F1370" s="53"/>
      <c r="G1370" s="117"/>
      <c r="H1370" s="173" t="e">
        <f>SUM(H1371:H1372)</f>
        <v>#REF!</v>
      </c>
      <c r="I1370" s="114"/>
      <c r="J1370" s="110" t="e">
        <f>J1358</f>
        <v>#REF!</v>
      </c>
    </row>
    <row r="1371" spans="1:10" s="55" customFormat="1" ht="17.100000000000001" hidden="1" customHeight="1">
      <c r="A1371" s="50" t="e">
        <f t="shared" si="58"/>
        <v>#REF!</v>
      </c>
      <c r="B1371" s="51"/>
      <c r="C1371" s="51" t="s">
        <v>426</v>
      </c>
      <c r="D1371" s="52" t="s">
        <v>559</v>
      </c>
      <c r="E1371" s="116">
        <f>cpc</f>
        <v>0.7</v>
      </c>
      <c r="F1371" s="174"/>
      <c r="G1371" s="175"/>
      <c r="H1371" s="54" t="e">
        <f>E1371*H1363</f>
        <v>#REF!</v>
      </c>
      <c r="I1371" s="114"/>
      <c r="J1371" s="110" t="e">
        <f>J1358</f>
        <v>#REF!</v>
      </c>
    </row>
    <row r="1372" spans="1:10" s="55" customFormat="1" ht="30" hidden="1">
      <c r="A1372" s="50" t="e">
        <f t="shared" si="58"/>
        <v>#REF!</v>
      </c>
      <c r="B1372" s="51"/>
      <c r="C1372" s="78" t="s">
        <v>560</v>
      </c>
      <c r="D1372" s="79" t="s">
        <v>561</v>
      </c>
      <c r="E1372" s="176">
        <f>hmc</f>
        <v>0.05</v>
      </c>
      <c r="F1372" s="53"/>
      <c r="G1372" s="113"/>
      <c r="H1372" s="54" t="e">
        <f>E1372*H1369</f>
        <v>#REF!</v>
      </c>
      <c r="I1372" s="114"/>
      <c r="J1372" s="110" t="e">
        <f>J1358</f>
        <v>#REF!</v>
      </c>
    </row>
    <row r="1373" spans="1:10" s="55" customFormat="1" ht="17.100000000000001" hidden="1" customHeight="1">
      <c r="A1373" s="50" t="e">
        <f t="shared" si="58"/>
        <v>#REF!</v>
      </c>
      <c r="B1373" s="51"/>
      <c r="C1373" s="170" t="s">
        <v>562</v>
      </c>
      <c r="D1373" s="171" t="s">
        <v>563</v>
      </c>
      <c r="E1373" s="179">
        <f>tn</f>
        <v>0.06</v>
      </c>
      <c r="F1373" s="177"/>
      <c r="G1373" s="178"/>
      <c r="H1373" s="181" t="e">
        <f>SUM(H1369:H1370)*E1373</f>
        <v>#REF!</v>
      </c>
      <c r="I1373" s="114"/>
      <c r="J1373" s="110" t="e">
        <f>J1358</f>
        <v>#REF!</v>
      </c>
    </row>
    <row r="1374" spans="1:10" s="55" customFormat="1" ht="17.100000000000001" hidden="1" customHeight="1">
      <c r="A1374" s="50" t="e">
        <f t="shared" si="58"/>
        <v>#REF!</v>
      </c>
      <c r="B1374" s="51"/>
      <c r="C1374" s="92" t="s">
        <v>1879</v>
      </c>
      <c r="D1374" s="171" t="s">
        <v>227</v>
      </c>
      <c r="E1374" s="180" t="s">
        <v>564</v>
      </c>
      <c r="F1374" s="174"/>
      <c r="G1374" s="175"/>
      <c r="H1374" s="173" t="e">
        <f>SUM(H1375:H1376)</f>
        <v>#REF!</v>
      </c>
      <c r="I1374" s="114"/>
      <c r="J1374" s="110" t="e">
        <f>J1358</f>
        <v>#REF!</v>
      </c>
    </row>
    <row r="1375" spans="1:10" s="55" customFormat="1" ht="17.100000000000001" hidden="1" customHeight="1">
      <c r="A1375" s="50" t="e">
        <f t="shared" si="58"/>
        <v>#REF!</v>
      </c>
      <c r="B1375" s="51"/>
      <c r="C1375" s="51" t="s">
        <v>427</v>
      </c>
      <c r="D1375" s="52" t="s">
        <v>428</v>
      </c>
      <c r="E1375" s="1093">
        <f>paks</f>
        <v>0</v>
      </c>
      <c r="F1375" s="174"/>
      <c r="G1375" s="175"/>
      <c r="H1375" s="54" t="e">
        <f>(H1369+H1370+H1373)*E1375</f>
        <v>#REF!</v>
      </c>
      <c r="I1375" s="114"/>
      <c r="J1375" s="110" t="e">
        <f>J1358</f>
        <v>#REF!</v>
      </c>
    </row>
    <row r="1376" spans="1:10" s="55" customFormat="1" ht="17.100000000000001" hidden="1" customHeight="1">
      <c r="A1376" s="50" t="e">
        <f t="shared" si="58"/>
        <v>#REF!</v>
      </c>
      <c r="B1376" s="51"/>
      <c r="C1376" s="51" t="s">
        <v>429</v>
      </c>
      <c r="D1376" s="52" t="s">
        <v>430</v>
      </c>
      <c r="E1376" s="1093">
        <f>bcks</f>
        <v>0.03</v>
      </c>
      <c r="F1376" s="53"/>
      <c r="G1376" s="113"/>
      <c r="H1376" s="54" t="e">
        <f>(H1369+H1370+H1373)*E1376</f>
        <v>#REF!</v>
      </c>
      <c r="I1376" s="114"/>
      <c r="J1376" s="110" t="e">
        <f>J1358</f>
        <v>#REF!</v>
      </c>
    </row>
    <row r="1377" spans="1:10" s="55" customFormat="1" ht="17.100000000000001" hidden="1" customHeight="1">
      <c r="A1377" s="50" t="e">
        <f t="shared" si="58"/>
        <v>#REF!</v>
      </c>
      <c r="B1377" s="51"/>
      <c r="C1377" s="170" t="s">
        <v>565</v>
      </c>
      <c r="D1377" s="171" t="s">
        <v>218</v>
      </c>
      <c r="E1377" s="172" t="s">
        <v>566</v>
      </c>
      <c r="F1377" s="53"/>
      <c r="G1377" s="113"/>
      <c r="H1377" s="173" t="e">
        <f>H1369+H1370+H1373+H1374</f>
        <v>#REF!</v>
      </c>
      <c r="I1377" s="114"/>
      <c r="J1377" s="110" t="e">
        <f>J1358</f>
        <v>#REF!</v>
      </c>
    </row>
    <row r="1378" spans="1:10" s="55" customFormat="1" ht="17.100000000000001" hidden="1" customHeight="1">
      <c r="A1378" s="50" t="e">
        <f t="shared" si="58"/>
        <v>#REF!</v>
      </c>
      <c r="B1378" s="51"/>
      <c r="C1378" s="51" t="s">
        <v>567</v>
      </c>
      <c r="D1378" s="52" t="s">
        <v>222</v>
      </c>
      <c r="E1378" s="112" t="s">
        <v>1917</v>
      </c>
      <c r="F1378" s="174"/>
      <c r="G1378" s="175"/>
      <c r="H1378" s="54" t="e">
        <f>ROUND(H1377*10/100,5)</f>
        <v>#REF!</v>
      </c>
      <c r="I1378" s="114"/>
      <c r="J1378" s="110" t="e">
        <f>J1358</f>
        <v>#REF!</v>
      </c>
    </row>
    <row r="1379" spans="1:10" s="55" customFormat="1" ht="17.100000000000001" hidden="1" customHeight="1">
      <c r="A1379" s="50" t="e">
        <f t="shared" si="58"/>
        <v>#REF!</v>
      </c>
      <c r="B1379" s="51"/>
      <c r="C1379" s="170" t="s">
        <v>568</v>
      </c>
      <c r="D1379" s="171" t="s">
        <v>225</v>
      </c>
      <c r="E1379" s="172" t="s">
        <v>192</v>
      </c>
      <c r="F1379" s="53"/>
      <c r="G1379" s="117"/>
      <c r="H1379" s="56" t="e">
        <f>ROUND(H1377+H1378,5)</f>
        <v>#REF!</v>
      </c>
      <c r="I1379" s="115"/>
      <c r="J1379" s="715" t="e">
        <f>J1358</f>
        <v>#REF!</v>
      </c>
    </row>
    <row r="1380" spans="1:10" s="263" customFormat="1" ht="17.100000000000001" hidden="1" customHeight="1">
      <c r="A1380" s="264" t="e">
        <f t="shared" si="58"/>
        <v>#REF!</v>
      </c>
      <c r="B1380" s="265" t="s">
        <v>405</v>
      </c>
      <c r="C1380" s="265" t="s">
        <v>406</v>
      </c>
      <c r="D1380" s="266" t="s">
        <v>332</v>
      </c>
      <c r="E1380" s="270"/>
      <c r="F1380" s="267"/>
      <c r="G1380" s="271"/>
      <c r="H1380" s="268" t="e">
        <f>H1405</f>
        <v>#REF!</v>
      </c>
      <c r="I1380" s="272"/>
      <c r="J1380" s="273">
        <f>IF(SUMIF(Khaosat!$B$6:$B$47,'PT giaKS'!B1380,Khaosat!$I$6:$I$47)&lt;&gt;0,$J$6,0)</f>
        <v>0</v>
      </c>
    </row>
    <row r="1381" spans="1:10" s="55" customFormat="1" ht="17.100000000000001" hidden="1" customHeight="1">
      <c r="A1381" s="50" t="e">
        <f t="shared" si="58"/>
        <v>#REF!</v>
      </c>
      <c r="B1381" s="51"/>
      <c r="C1381" s="51" t="s">
        <v>128</v>
      </c>
      <c r="D1381" s="52" t="s">
        <v>0</v>
      </c>
      <c r="E1381" s="112"/>
      <c r="F1381" s="53"/>
      <c r="G1381" s="117"/>
      <c r="H1381" s="56">
        <f>ROUND(SUM(H1382:H1387),5)</f>
        <v>58622.574999999997</v>
      </c>
      <c r="I1381" s="115"/>
      <c r="J1381" s="110">
        <f>J1380</f>
        <v>0</v>
      </c>
    </row>
    <row r="1382" spans="1:10" s="55" customFormat="1" ht="17.100000000000001" hidden="1" customHeight="1">
      <c r="A1382" s="50" t="e">
        <f t="shared" si="58"/>
        <v>#REF!</v>
      </c>
      <c r="B1382" s="51"/>
      <c r="C1382" s="51" t="s">
        <v>494</v>
      </c>
      <c r="D1382" s="52" t="s">
        <v>495</v>
      </c>
      <c r="E1382" s="112">
        <v>11.45</v>
      </c>
      <c r="F1382" s="53">
        <f>VLKS!Q58</f>
        <v>1685</v>
      </c>
      <c r="G1382" s="117">
        <f>hsvl</f>
        <v>1</v>
      </c>
      <c r="H1382" s="54">
        <f>ROUND(E1382*F1382*G1382,5)</f>
        <v>19293.25</v>
      </c>
      <c r="I1382" s="114"/>
      <c r="J1382" s="110">
        <f>J1380</f>
        <v>0</v>
      </c>
    </row>
    <row r="1383" spans="1:10" s="55" customFormat="1" ht="17.100000000000001" hidden="1" customHeight="1">
      <c r="A1383" s="50" t="e">
        <f t="shared" si="58"/>
        <v>#REF!</v>
      </c>
      <c r="B1383" s="51"/>
      <c r="C1383" s="51" t="s">
        <v>499</v>
      </c>
      <c r="D1383" s="52" t="s">
        <v>82</v>
      </c>
      <c r="E1383" s="112">
        <f>0.08</f>
        <v>0.08</v>
      </c>
      <c r="F1383" s="53">
        <f>VLKS!Q66</f>
        <v>350000</v>
      </c>
      <c r="G1383" s="117">
        <f>hsvl</f>
        <v>1</v>
      </c>
      <c r="H1383" s="54">
        <f>ROUND(E1383*F1383*G1383,5)</f>
        <v>28000</v>
      </c>
      <c r="I1383" s="114"/>
      <c r="J1383" s="110">
        <f>J1380</f>
        <v>0</v>
      </c>
    </row>
    <row r="1384" spans="1:10" s="55" customFormat="1" ht="17.100000000000001" hidden="1" customHeight="1">
      <c r="A1384" s="50" t="e">
        <f t="shared" si="58"/>
        <v>#REF!</v>
      </c>
      <c r="B1384" s="51"/>
      <c r="C1384" s="51" t="s">
        <v>496</v>
      </c>
      <c r="D1384" s="52" t="s">
        <v>82</v>
      </c>
      <c r="E1384" s="112">
        <f>0.02</f>
        <v>0.02</v>
      </c>
      <c r="F1384" s="53">
        <f>VLKS!Q40</f>
        <v>60000</v>
      </c>
      <c r="G1384" s="117">
        <f>hsvl</f>
        <v>1</v>
      </c>
      <c r="H1384" s="54">
        <f>ROUND(E1384*F1384*G1384,5)</f>
        <v>1200</v>
      </c>
      <c r="I1384" s="114"/>
      <c r="J1384" s="110">
        <f>J1380</f>
        <v>0</v>
      </c>
    </row>
    <row r="1385" spans="1:10" s="55" customFormat="1" ht="17.100000000000001" hidden="1" customHeight="1">
      <c r="A1385" s="50" t="e">
        <f t="shared" si="58"/>
        <v>#REF!</v>
      </c>
      <c r="B1385" s="51"/>
      <c r="C1385" s="51" t="s">
        <v>500</v>
      </c>
      <c r="D1385" s="52" t="s">
        <v>82</v>
      </c>
      <c r="E1385" s="112">
        <f>0.04</f>
        <v>0.04</v>
      </c>
      <c r="F1385" s="53">
        <f>VLKS!Q25</f>
        <v>100000</v>
      </c>
      <c r="G1385" s="117">
        <f>hsvl</f>
        <v>1</v>
      </c>
      <c r="H1385" s="54">
        <f>ROUND(E1385*F1385*G1385,5)</f>
        <v>4000</v>
      </c>
      <c r="I1385" s="114"/>
      <c r="J1385" s="110">
        <f>J1380</f>
        <v>0</v>
      </c>
    </row>
    <row r="1386" spans="1:10" s="55" customFormat="1" ht="17.100000000000001" hidden="1" customHeight="1">
      <c r="A1386" s="50" t="e">
        <f t="shared" si="58"/>
        <v>#REF!</v>
      </c>
      <c r="B1386" s="51"/>
      <c r="C1386" s="51" t="s">
        <v>501</v>
      </c>
      <c r="D1386" s="52" t="s">
        <v>82</v>
      </c>
      <c r="E1386" s="112">
        <f>0.04</f>
        <v>0.04</v>
      </c>
      <c r="F1386" s="53">
        <f>VLKS!Q47</f>
        <v>20000</v>
      </c>
      <c r="G1386" s="117">
        <f>hsvl</f>
        <v>1</v>
      </c>
      <c r="H1386" s="54">
        <f>ROUND(E1386*F1386*G1386,5)</f>
        <v>800</v>
      </c>
      <c r="I1386" s="114"/>
      <c r="J1386" s="110">
        <f>J1380</f>
        <v>0</v>
      </c>
    </row>
    <row r="1387" spans="1:10" s="55" customFormat="1" ht="17.100000000000001" hidden="1" customHeight="1">
      <c r="A1387" s="50" t="e">
        <f t="shared" si="58"/>
        <v>#REF!</v>
      </c>
      <c r="B1387" s="51"/>
      <c r="C1387" s="51" t="s">
        <v>127</v>
      </c>
      <c r="D1387" s="52" t="s">
        <v>126</v>
      </c>
      <c r="E1387" s="112">
        <f>10</f>
        <v>10</v>
      </c>
      <c r="F1387" s="53"/>
      <c r="G1387" s="117"/>
      <c r="H1387" s="54">
        <f>ROUND(SUM(H1382:H1386)*E1387/100,5)</f>
        <v>5329.3249999999998</v>
      </c>
      <c r="I1387" s="114"/>
      <c r="J1387" s="110">
        <f>J1380</f>
        <v>0</v>
      </c>
    </row>
    <row r="1388" spans="1:10" s="55" customFormat="1" ht="17.100000000000001" hidden="1" customHeight="1">
      <c r="A1388" s="50" t="e">
        <f t="shared" si="58"/>
        <v>#REF!</v>
      </c>
      <c r="B1388" s="51"/>
      <c r="C1388" s="51" t="s">
        <v>125</v>
      </c>
      <c r="D1388" s="52" t="s">
        <v>0</v>
      </c>
      <c r="E1388" s="112"/>
      <c r="F1388" s="53"/>
      <c r="G1388" s="117"/>
      <c r="H1388" s="56" t="e">
        <f>ROUND(SUM(H1389:H1389),5)</f>
        <v>#REF!</v>
      </c>
      <c r="I1388" s="115"/>
      <c r="J1388" s="110">
        <f>J1380</f>
        <v>0</v>
      </c>
    </row>
    <row r="1389" spans="1:10" s="55" customFormat="1" ht="17.100000000000001" hidden="1" customHeight="1">
      <c r="A1389" s="50" t="e">
        <f t="shared" si="58"/>
        <v>#REF!</v>
      </c>
      <c r="B1389" s="51"/>
      <c r="C1389" s="51" t="s">
        <v>424</v>
      </c>
      <c r="D1389" s="52" t="s">
        <v>3</v>
      </c>
      <c r="E1389" s="112">
        <v>8.75</v>
      </c>
      <c r="F1389" s="53" t="e">
        <f>'NC,M KS'!P6</f>
        <v>#REF!</v>
      </c>
      <c r="G1389" s="117">
        <f>hsnc</f>
        <v>1</v>
      </c>
      <c r="H1389" s="54" t="e">
        <f>ROUND(E1389*F1389*G1389,5)</f>
        <v>#REF!</v>
      </c>
      <c r="I1389" s="114"/>
      <c r="J1389" s="110">
        <f>J1380</f>
        <v>0</v>
      </c>
    </row>
    <row r="1390" spans="1:10" s="55" customFormat="1" ht="17.100000000000001" hidden="1" customHeight="1">
      <c r="A1390" s="50" t="e">
        <f t="shared" si="58"/>
        <v>#REF!</v>
      </c>
      <c r="B1390" s="51"/>
      <c r="C1390" s="51" t="s">
        <v>124</v>
      </c>
      <c r="D1390" s="52" t="s">
        <v>0</v>
      </c>
      <c r="E1390" s="112"/>
      <c r="F1390" s="53"/>
      <c r="G1390" s="117"/>
      <c r="H1390" s="56">
        <f>ROUND(SUM(H1391:H1394),5)</f>
        <v>697746.52043000003</v>
      </c>
      <c r="I1390" s="115"/>
      <c r="J1390" s="110">
        <f>J1380</f>
        <v>0</v>
      </c>
    </row>
    <row r="1391" spans="1:10" s="55" customFormat="1" ht="17.100000000000001" hidden="1" customHeight="1">
      <c r="A1391" s="50" t="e">
        <f t="shared" si="58"/>
        <v>#REF!</v>
      </c>
      <c r="B1391" s="51"/>
      <c r="C1391" s="51" t="s">
        <v>502</v>
      </c>
      <c r="D1391" s="52" t="s">
        <v>4</v>
      </c>
      <c r="E1391" s="112">
        <v>4</v>
      </c>
      <c r="F1391" s="53">
        <f>'NC,M KS'!P13</f>
        <v>10053.540000000001</v>
      </c>
      <c r="G1391" s="117">
        <f>hsm</f>
        <v>1</v>
      </c>
      <c r="H1391" s="54">
        <f>ROUND(E1391*F1391*G1391,5)</f>
        <v>40214.160000000003</v>
      </c>
      <c r="I1391" s="114"/>
      <c r="J1391" s="110">
        <f>J1380</f>
        <v>0</v>
      </c>
    </row>
    <row r="1392" spans="1:10" s="55" customFormat="1" ht="17.100000000000001" hidden="1" customHeight="1">
      <c r="A1392" s="50" t="e">
        <f t="shared" ref="A1392:A1455" si="61">IF(B1392&lt;&gt;0,A1391+J1392,A1391)</f>
        <v>#REF!</v>
      </c>
      <c r="B1392" s="51"/>
      <c r="C1392" s="51" t="s">
        <v>503</v>
      </c>
      <c r="D1392" s="52" t="s">
        <v>4</v>
      </c>
      <c r="E1392" s="112">
        <v>2.29</v>
      </c>
      <c r="F1392" s="53">
        <f>'NC,M KS'!P19</f>
        <v>6621.125</v>
      </c>
      <c r="G1392" s="117">
        <f>hsm</f>
        <v>1</v>
      </c>
      <c r="H1392" s="54">
        <f>ROUND(E1392*F1392*G1392,5)</f>
        <v>15162.376249999999</v>
      </c>
      <c r="I1392" s="114"/>
      <c r="J1392" s="110">
        <f>J1380</f>
        <v>0</v>
      </c>
    </row>
    <row r="1393" spans="1:10" s="55" customFormat="1" ht="17.100000000000001" hidden="1" customHeight="1">
      <c r="A1393" s="50" t="e">
        <f t="shared" si="61"/>
        <v>#REF!</v>
      </c>
      <c r="B1393" s="51"/>
      <c r="C1393" s="51" t="s">
        <v>504</v>
      </c>
      <c r="D1393" s="52" t="s">
        <v>4</v>
      </c>
      <c r="E1393" s="112">
        <v>1.07</v>
      </c>
      <c r="F1393" s="53">
        <f>'NC,M KS'!P25</f>
        <v>569293.42000000004</v>
      </c>
      <c r="G1393" s="117">
        <f>hsm</f>
        <v>1</v>
      </c>
      <c r="H1393" s="54">
        <f>ROUND(E1393*F1393*G1393,5)</f>
        <v>609143.95940000005</v>
      </c>
      <c r="I1393" s="114"/>
      <c r="J1393" s="110">
        <f>J1380</f>
        <v>0</v>
      </c>
    </row>
    <row r="1394" spans="1:10" s="55" customFormat="1" ht="17.100000000000001" hidden="1" customHeight="1">
      <c r="A1394" s="50" t="e">
        <f t="shared" si="61"/>
        <v>#REF!</v>
      </c>
      <c r="B1394" s="51"/>
      <c r="C1394" s="51" t="s">
        <v>130</v>
      </c>
      <c r="D1394" s="52" t="s">
        <v>126</v>
      </c>
      <c r="E1394" s="112">
        <f>5</f>
        <v>5</v>
      </c>
      <c r="F1394" s="53"/>
      <c r="G1394" s="117"/>
      <c r="H1394" s="54">
        <f>ROUND(SUM(H1391:H1393)*E1394/100,5)</f>
        <v>33226.02478</v>
      </c>
      <c r="I1394" s="114"/>
      <c r="J1394" s="110">
        <f>J1380</f>
        <v>0</v>
      </c>
    </row>
    <row r="1395" spans="1:10" s="55" customFormat="1" ht="17.100000000000001" hidden="1" customHeight="1">
      <c r="A1395" s="50" t="e">
        <f t="shared" si="61"/>
        <v>#REF!</v>
      </c>
      <c r="B1395" s="51"/>
      <c r="C1395" s="170" t="s">
        <v>556</v>
      </c>
      <c r="D1395" s="171" t="s">
        <v>136</v>
      </c>
      <c r="E1395" s="172" t="s">
        <v>205</v>
      </c>
      <c r="F1395" s="53"/>
      <c r="G1395" s="117"/>
      <c r="H1395" s="173" t="e">
        <f>ROUND(H1381+H1388+H1390,5)</f>
        <v>#REF!</v>
      </c>
      <c r="I1395" s="114"/>
      <c r="J1395" s="110">
        <f>J1380</f>
        <v>0</v>
      </c>
    </row>
    <row r="1396" spans="1:10" s="55" customFormat="1" ht="17.100000000000001" hidden="1" customHeight="1">
      <c r="A1396" s="50" t="e">
        <f t="shared" si="61"/>
        <v>#REF!</v>
      </c>
      <c r="B1396" s="51"/>
      <c r="C1396" s="170" t="s">
        <v>557</v>
      </c>
      <c r="D1396" s="171" t="s">
        <v>204</v>
      </c>
      <c r="E1396" s="172" t="s">
        <v>558</v>
      </c>
      <c r="F1396" s="53"/>
      <c r="G1396" s="117"/>
      <c r="H1396" s="173" t="e">
        <f>SUM(H1397:H1398)</f>
        <v>#REF!</v>
      </c>
      <c r="I1396" s="114"/>
      <c r="J1396" s="110">
        <f>J1380</f>
        <v>0</v>
      </c>
    </row>
    <row r="1397" spans="1:10" s="55" customFormat="1" ht="17.100000000000001" hidden="1" customHeight="1">
      <c r="A1397" s="50" t="e">
        <f t="shared" si="61"/>
        <v>#REF!</v>
      </c>
      <c r="B1397" s="51"/>
      <c r="C1397" s="51" t="s">
        <v>426</v>
      </c>
      <c r="D1397" s="52" t="s">
        <v>559</v>
      </c>
      <c r="E1397" s="116">
        <f>cpc</f>
        <v>0.7</v>
      </c>
      <c r="F1397" s="174"/>
      <c r="G1397" s="175"/>
      <c r="H1397" s="54" t="e">
        <f>E1397*H1388</f>
        <v>#REF!</v>
      </c>
      <c r="I1397" s="114"/>
      <c r="J1397" s="110">
        <f>J1380</f>
        <v>0</v>
      </c>
    </row>
    <row r="1398" spans="1:10" s="55" customFormat="1" ht="30" hidden="1">
      <c r="A1398" s="50" t="e">
        <f t="shared" si="61"/>
        <v>#REF!</v>
      </c>
      <c r="B1398" s="51"/>
      <c r="C1398" s="78" t="s">
        <v>560</v>
      </c>
      <c r="D1398" s="79" t="s">
        <v>561</v>
      </c>
      <c r="E1398" s="176">
        <f>hmc</f>
        <v>0.05</v>
      </c>
      <c r="F1398" s="53"/>
      <c r="G1398" s="113"/>
      <c r="H1398" s="54" t="e">
        <f>E1398*H1395</f>
        <v>#REF!</v>
      </c>
      <c r="I1398" s="114"/>
      <c r="J1398" s="110">
        <f>J1380</f>
        <v>0</v>
      </c>
    </row>
    <row r="1399" spans="1:10" s="55" customFormat="1" ht="17.100000000000001" hidden="1" customHeight="1">
      <c r="A1399" s="50" t="e">
        <f t="shared" si="61"/>
        <v>#REF!</v>
      </c>
      <c r="B1399" s="51"/>
      <c r="C1399" s="170" t="s">
        <v>562</v>
      </c>
      <c r="D1399" s="171" t="s">
        <v>563</v>
      </c>
      <c r="E1399" s="179">
        <f>tn</f>
        <v>0.06</v>
      </c>
      <c r="F1399" s="177"/>
      <c r="G1399" s="178"/>
      <c r="H1399" s="181" t="e">
        <f>SUM(H1395:H1396)*E1399</f>
        <v>#REF!</v>
      </c>
      <c r="I1399" s="114"/>
      <c r="J1399" s="110">
        <f>J1380</f>
        <v>0</v>
      </c>
    </row>
    <row r="1400" spans="1:10" s="55" customFormat="1" ht="17.100000000000001" hidden="1" customHeight="1">
      <c r="A1400" s="50" t="e">
        <f t="shared" si="61"/>
        <v>#REF!</v>
      </c>
      <c r="B1400" s="51"/>
      <c r="C1400" s="92" t="s">
        <v>1879</v>
      </c>
      <c r="D1400" s="171" t="s">
        <v>227</v>
      </c>
      <c r="E1400" s="180" t="s">
        <v>564</v>
      </c>
      <c r="F1400" s="174"/>
      <c r="G1400" s="175"/>
      <c r="H1400" s="173" t="e">
        <f>SUM(H1401:H1402)</f>
        <v>#REF!</v>
      </c>
      <c r="I1400" s="114"/>
      <c r="J1400" s="110">
        <f>J1380</f>
        <v>0</v>
      </c>
    </row>
    <row r="1401" spans="1:10" s="55" customFormat="1" ht="17.100000000000001" hidden="1" customHeight="1">
      <c r="A1401" s="50" t="e">
        <f t="shared" si="61"/>
        <v>#REF!</v>
      </c>
      <c r="B1401" s="51"/>
      <c r="C1401" s="51" t="s">
        <v>427</v>
      </c>
      <c r="D1401" s="52" t="s">
        <v>428</v>
      </c>
      <c r="E1401" s="1093">
        <f>paks</f>
        <v>0</v>
      </c>
      <c r="F1401" s="174"/>
      <c r="G1401" s="175"/>
      <c r="H1401" s="54" t="e">
        <f>(H1395+H1396+H1399)*E1401</f>
        <v>#REF!</v>
      </c>
      <c r="I1401" s="114"/>
      <c r="J1401" s="715">
        <f>J1380</f>
        <v>0</v>
      </c>
    </row>
    <row r="1402" spans="1:10" s="55" customFormat="1" ht="17.100000000000001" hidden="1" customHeight="1">
      <c r="A1402" s="50" t="e">
        <f t="shared" si="61"/>
        <v>#REF!</v>
      </c>
      <c r="B1402" s="51"/>
      <c r="C1402" s="51" t="s">
        <v>429</v>
      </c>
      <c r="D1402" s="52" t="s">
        <v>430</v>
      </c>
      <c r="E1402" s="1093">
        <f>bcks</f>
        <v>0.03</v>
      </c>
      <c r="F1402" s="53"/>
      <c r="G1402" s="113"/>
      <c r="H1402" s="54" t="e">
        <f>(H1395+H1396+H1399)*E1402</f>
        <v>#REF!</v>
      </c>
      <c r="I1402" s="114"/>
      <c r="J1402" s="715">
        <f>J1380</f>
        <v>0</v>
      </c>
    </row>
    <row r="1403" spans="1:10" s="55" customFormat="1" ht="17.100000000000001" hidden="1" customHeight="1">
      <c r="A1403" s="50" t="e">
        <f t="shared" si="61"/>
        <v>#REF!</v>
      </c>
      <c r="B1403" s="51"/>
      <c r="C1403" s="170" t="s">
        <v>565</v>
      </c>
      <c r="D1403" s="171" t="s">
        <v>218</v>
      </c>
      <c r="E1403" s="172" t="s">
        <v>566</v>
      </c>
      <c r="F1403" s="53"/>
      <c r="G1403" s="113"/>
      <c r="H1403" s="173" t="e">
        <f>H1395+H1396+H1399+H1400</f>
        <v>#REF!</v>
      </c>
      <c r="I1403" s="114"/>
      <c r="J1403" s="715">
        <f>J1380</f>
        <v>0</v>
      </c>
    </row>
    <row r="1404" spans="1:10" s="55" customFormat="1" ht="17.100000000000001" hidden="1" customHeight="1">
      <c r="A1404" s="50" t="e">
        <f t="shared" si="61"/>
        <v>#REF!</v>
      </c>
      <c r="B1404" s="51"/>
      <c r="C1404" s="51" t="s">
        <v>567</v>
      </c>
      <c r="D1404" s="52" t="s">
        <v>222</v>
      </c>
      <c r="E1404" s="112" t="s">
        <v>1917</v>
      </c>
      <c r="F1404" s="174"/>
      <c r="G1404" s="175"/>
      <c r="H1404" s="54" t="e">
        <f>ROUND(H1403*10/100,5)</f>
        <v>#REF!</v>
      </c>
      <c r="I1404" s="114"/>
      <c r="J1404" s="715">
        <f>J1380</f>
        <v>0</v>
      </c>
    </row>
    <row r="1405" spans="1:10" s="55" customFormat="1" ht="17.100000000000001" hidden="1" customHeight="1">
      <c r="A1405" s="50" t="e">
        <f t="shared" si="61"/>
        <v>#REF!</v>
      </c>
      <c r="B1405" s="51"/>
      <c r="C1405" s="170" t="s">
        <v>568</v>
      </c>
      <c r="D1405" s="171" t="s">
        <v>225</v>
      </c>
      <c r="E1405" s="172" t="s">
        <v>192</v>
      </c>
      <c r="F1405" s="53"/>
      <c r="G1405" s="117"/>
      <c r="H1405" s="56" t="e">
        <f>ROUND(H1403+H1404,5)</f>
        <v>#REF!</v>
      </c>
      <c r="I1405" s="115"/>
      <c r="J1405" s="715">
        <f>J1380</f>
        <v>0</v>
      </c>
    </row>
    <row r="1406" spans="1:10" s="263" customFormat="1" ht="17.100000000000001" hidden="1" customHeight="1">
      <c r="A1406" s="264" t="e">
        <f t="shared" si="61"/>
        <v>#REF!</v>
      </c>
      <c r="B1406" s="265" t="s">
        <v>333</v>
      </c>
      <c r="C1406" s="265" t="s">
        <v>334</v>
      </c>
      <c r="D1406" s="266" t="s">
        <v>332</v>
      </c>
      <c r="E1406" s="270"/>
      <c r="F1406" s="267"/>
      <c r="G1406" s="271"/>
      <c r="H1406" s="268" t="e">
        <f>H1436</f>
        <v>#REF!</v>
      </c>
      <c r="I1406" s="272"/>
      <c r="J1406" s="273" t="e">
        <f>IF(SUMIF(Khaosat!$B$6:$B$47,'PT giaKS'!B1406,Khaosat!$I$6:$I$47)&lt;&gt;0,$J$6,0)</f>
        <v>#REF!</v>
      </c>
    </row>
    <row r="1407" spans="1:10" s="55" customFormat="1" ht="17.100000000000001" hidden="1" customHeight="1">
      <c r="A1407" s="50" t="e">
        <f t="shared" si="61"/>
        <v>#REF!</v>
      </c>
      <c r="B1407" s="51"/>
      <c r="C1407" s="51" t="s">
        <v>128</v>
      </c>
      <c r="D1407" s="52" t="s">
        <v>0</v>
      </c>
      <c r="E1407" s="112"/>
      <c r="F1407" s="53"/>
      <c r="G1407" s="117"/>
      <c r="H1407" s="56">
        <f>ROUND(SUM(H1408:H1417),5)</f>
        <v>13528.295</v>
      </c>
      <c r="I1407" s="115"/>
      <c r="J1407" s="110" t="e">
        <f>J1406</f>
        <v>#REF!</v>
      </c>
    </row>
    <row r="1408" spans="1:10" s="55" customFormat="1" ht="17.100000000000001" hidden="1" customHeight="1">
      <c r="A1408" s="50" t="e">
        <f t="shared" si="61"/>
        <v>#REF!</v>
      </c>
      <c r="B1408" s="51"/>
      <c r="C1408" s="51" t="s">
        <v>494</v>
      </c>
      <c r="D1408" s="52" t="s">
        <v>495</v>
      </c>
      <c r="E1408" s="112">
        <f>1.37</f>
        <v>1.37</v>
      </c>
      <c r="F1408" s="53">
        <f>VLKS!Q58</f>
        <v>1685</v>
      </c>
      <c r="G1408" s="117">
        <f t="shared" ref="G1408:G1416" si="62">hsvl</f>
        <v>1</v>
      </c>
      <c r="H1408" s="54">
        <f t="shared" ref="H1408:H1416" si="63">ROUND(E1408*F1408*G1408,5)</f>
        <v>2308.4499999999998</v>
      </c>
      <c r="I1408" s="114"/>
      <c r="J1408" s="110" t="e">
        <f>J1406</f>
        <v>#REF!</v>
      </c>
    </row>
    <row r="1409" spans="1:10" s="55" customFormat="1" ht="17.100000000000001" hidden="1" customHeight="1">
      <c r="A1409" s="50" t="e">
        <f t="shared" si="61"/>
        <v>#REF!</v>
      </c>
      <c r="B1409" s="51"/>
      <c r="C1409" s="51" t="s">
        <v>505</v>
      </c>
      <c r="D1409" s="52" t="s">
        <v>82</v>
      </c>
      <c r="E1409" s="112">
        <f>0.002</f>
        <v>2E-3</v>
      </c>
      <c r="F1409" s="53">
        <f>VLKS!Q13</f>
        <v>250000</v>
      </c>
      <c r="G1409" s="117">
        <f t="shared" si="62"/>
        <v>1</v>
      </c>
      <c r="H1409" s="54">
        <f t="shared" si="63"/>
        <v>500</v>
      </c>
      <c r="I1409" s="114"/>
      <c r="J1409" s="110" t="e">
        <f>J1406</f>
        <v>#REF!</v>
      </c>
    </row>
    <row r="1410" spans="1:10" s="55" customFormat="1" ht="17.100000000000001" hidden="1" customHeight="1">
      <c r="A1410" s="50" t="e">
        <f t="shared" si="61"/>
        <v>#REF!</v>
      </c>
      <c r="B1410" s="51"/>
      <c r="C1410" s="51" t="s">
        <v>506</v>
      </c>
      <c r="D1410" s="52" t="s">
        <v>82</v>
      </c>
      <c r="E1410" s="112">
        <f>0.05</f>
        <v>0.05</v>
      </c>
      <c r="F1410" s="53">
        <f>VLKS!Q16</f>
        <v>25000</v>
      </c>
      <c r="G1410" s="117">
        <f t="shared" si="62"/>
        <v>1</v>
      </c>
      <c r="H1410" s="54">
        <f t="shared" si="63"/>
        <v>1250</v>
      </c>
      <c r="I1410" s="114"/>
      <c r="J1410" s="110" t="e">
        <f>J1406</f>
        <v>#REF!</v>
      </c>
    </row>
    <row r="1411" spans="1:10" s="55" customFormat="1" ht="17.100000000000001" hidden="1" customHeight="1">
      <c r="A1411" s="50" t="e">
        <f t="shared" si="61"/>
        <v>#REF!</v>
      </c>
      <c r="B1411" s="51"/>
      <c r="C1411" s="51" t="s">
        <v>496</v>
      </c>
      <c r="D1411" s="52" t="s">
        <v>82</v>
      </c>
      <c r="E1411" s="112">
        <f>0.025</f>
        <v>2.5000000000000001E-2</v>
      </c>
      <c r="F1411" s="53">
        <f>VLKS!Q40</f>
        <v>60000</v>
      </c>
      <c r="G1411" s="117">
        <f t="shared" si="62"/>
        <v>1</v>
      </c>
      <c r="H1411" s="54">
        <f t="shared" si="63"/>
        <v>1500</v>
      </c>
      <c r="I1411" s="114"/>
      <c r="J1411" s="110" t="e">
        <f>J1406</f>
        <v>#REF!</v>
      </c>
    </row>
    <row r="1412" spans="1:10" s="55" customFormat="1" ht="17.100000000000001" hidden="1" customHeight="1">
      <c r="A1412" s="50" t="e">
        <f t="shared" si="61"/>
        <v>#REF!</v>
      </c>
      <c r="B1412" s="51"/>
      <c r="C1412" s="51" t="s">
        <v>507</v>
      </c>
      <c r="D1412" s="52" t="s">
        <v>82</v>
      </c>
      <c r="E1412" s="112">
        <f>0.05</f>
        <v>0.05</v>
      </c>
      <c r="F1412" s="53">
        <f>VLKS!Q64</f>
        <v>6000</v>
      </c>
      <c r="G1412" s="117">
        <f t="shared" si="62"/>
        <v>1</v>
      </c>
      <c r="H1412" s="54">
        <f t="shared" si="63"/>
        <v>300</v>
      </c>
      <c r="I1412" s="114"/>
      <c r="J1412" s="110" t="e">
        <f>J1406</f>
        <v>#REF!</v>
      </c>
    </row>
    <row r="1413" spans="1:10" s="55" customFormat="1" ht="17.100000000000001" hidden="1" customHeight="1">
      <c r="A1413" s="50" t="e">
        <f t="shared" si="61"/>
        <v>#REF!</v>
      </c>
      <c r="B1413" s="51"/>
      <c r="C1413" s="51" t="s">
        <v>500</v>
      </c>
      <c r="D1413" s="52" t="s">
        <v>82</v>
      </c>
      <c r="E1413" s="112">
        <f>0.05</f>
        <v>0.05</v>
      </c>
      <c r="F1413" s="53">
        <f>VLKS!Q25</f>
        <v>100000</v>
      </c>
      <c r="G1413" s="117">
        <f t="shared" si="62"/>
        <v>1</v>
      </c>
      <c r="H1413" s="54">
        <f t="shared" si="63"/>
        <v>5000</v>
      </c>
      <c r="I1413" s="114"/>
      <c r="J1413" s="110" t="e">
        <f>J1406</f>
        <v>#REF!</v>
      </c>
    </row>
    <row r="1414" spans="1:10" s="55" customFormat="1" ht="17.100000000000001" hidden="1" customHeight="1">
      <c r="A1414" s="50" t="e">
        <f t="shared" si="61"/>
        <v>#REF!</v>
      </c>
      <c r="B1414" s="51"/>
      <c r="C1414" s="51" t="s">
        <v>508</v>
      </c>
      <c r="D1414" s="52" t="s">
        <v>82</v>
      </c>
      <c r="E1414" s="112">
        <f>0.018</f>
        <v>1.7999999999999999E-2</v>
      </c>
      <c r="F1414" s="53">
        <f>VLKS!Q36</f>
        <v>20000</v>
      </c>
      <c r="G1414" s="117">
        <f t="shared" si="62"/>
        <v>1</v>
      </c>
      <c r="H1414" s="54">
        <f t="shared" si="63"/>
        <v>360</v>
      </c>
      <c r="I1414" s="114"/>
      <c r="J1414" s="110" t="e">
        <f>J1406</f>
        <v>#REF!</v>
      </c>
    </row>
    <row r="1415" spans="1:10" s="55" customFormat="1" ht="17.100000000000001" hidden="1" customHeight="1">
      <c r="A1415" s="50" t="e">
        <f t="shared" si="61"/>
        <v>#REF!</v>
      </c>
      <c r="B1415" s="51"/>
      <c r="C1415" s="51" t="s">
        <v>509</v>
      </c>
      <c r="D1415" s="52" t="s">
        <v>82</v>
      </c>
      <c r="E1415" s="112">
        <f>0.002</f>
        <v>2E-3</v>
      </c>
      <c r="F1415" s="53">
        <f>VLKS!Q30</f>
        <v>90000</v>
      </c>
      <c r="G1415" s="117">
        <f t="shared" si="62"/>
        <v>1</v>
      </c>
      <c r="H1415" s="54">
        <f t="shared" si="63"/>
        <v>180</v>
      </c>
      <c r="I1415" s="114"/>
      <c r="J1415" s="110" t="e">
        <f>J1406</f>
        <v>#REF!</v>
      </c>
    </row>
    <row r="1416" spans="1:10" s="55" customFormat="1" ht="17.100000000000001" hidden="1" customHeight="1">
      <c r="A1416" s="50" t="e">
        <f t="shared" si="61"/>
        <v>#REF!</v>
      </c>
      <c r="B1416" s="51"/>
      <c r="C1416" s="51" t="s">
        <v>501</v>
      </c>
      <c r="D1416" s="52" t="s">
        <v>82</v>
      </c>
      <c r="E1416" s="112">
        <f>0.045</f>
        <v>4.4999999999999998E-2</v>
      </c>
      <c r="F1416" s="53">
        <f>VLKS!Q47</f>
        <v>20000</v>
      </c>
      <c r="G1416" s="117">
        <f t="shared" si="62"/>
        <v>1</v>
      </c>
      <c r="H1416" s="54">
        <f t="shared" si="63"/>
        <v>900</v>
      </c>
      <c r="I1416" s="114"/>
      <c r="J1416" s="110" t="e">
        <f>J1406</f>
        <v>#REF!</v>
      </c>
    </row>
    <row r="1417" spans="1:10" s="55" customFormat="1" ht="17.100000000000001" hidden="1" customHeight="1">
      <c r="A1417" s="50" t="e">
        <f t="shared" si="61"/>
        <v>#REF!</v>
      </c>
      <c r="B1417" s="51"/>
      <c r="C1417" s="51" t="s">
        <v>127</v>
      </c>
      <c r="D1417" s="52" t="s">
        <v>126</v>
      </c>
      <c r="E1417" s="112">
        <f>10</f>
        <v>10</v>
      </c>
      <c r="F1417" s="53"/>
      <c r="G1417" s="117"/>
      <c r="H1417" s="54">
        <f>ROUND(SUM(H1408:H1416)*E1417/100,5)</f>
        <v>1229.845</v>
      </c>
      <c r="I1417" s="114"/>
      <c r="J1417" s="110" t="e">
        <f>J1406</f>
        <v>#REF!</v>
      </c>
    </row>
    <row r="1418" spans="1:10" s="55" customFormat="1" ht="17.100000000000001" hidden="1" customHeight="1">
      <c r="A1418" s="50" t="e">
        <f t="shared" si="61"/>
        <v>#REF!</v>
      </c>
      <c r="B1418" s="51"/>
      <c r="C1418" s="51" t="s">
        <v>125</v>
      </c>
      <c r="D1418" s="52" t="s">
        <v>0</v>
      </c>
      <c r="E1418" s="112"/>
      <c r="F1418" s="53"/>
      <c r="G1418" s="117"/>
      <c r="H1418" s="56" t="e">
        <f>ROUND(SUM(H1419:H1419),5)</f>
        <v>#REF!</v>
      </c>
      <c r="I1418" s="115"/>
      <c r="J1418" s="110" t="e">
        <f>J1406</f>
        <v>#REF!</v>
      </c>
    </row>
    <row r="1419" spans="1:10" s="55" customFormat="1" ht="17.100000000000001" hidden="1" customHeight="1">
      <c r="A1419" s="50" t="e">
        <f t="shared" si="61"/>
        <v>#REF!</v>
      </c>
      <c r="B1419" s="51"/>
      <c r="C1419" s="51" t="s">
        <v>424</v>
      </c>
      <c r="D1419" s="52" t="s">
        <v>3</v>
      </c>
      <c r="E1419" s="112">
        <f>0.569</f>
        <v>0.56899999999999995</v>
      </c>
      <c r="F1419" s="53" t="e">
        <f>'NC,M KS'!P6</f>
        <v>#REF!</v>
      </c>
      <c r="G1419" s="117">
        <f>hsnc</f>
        <v>1</v>
      </c>
      <c r="H1419" s="54" t="e">
        <f>ROUND(E1419*F1419*G1419,5)</f>
        <v>#REF!</v>
      </c>
      <c r="I1419" s="114"/>
      <c r="J1419" s="110" t="e">
        <f>J1406</f>
        <v>#REF!</v>
      </c>
    </row>
    <row r="1420" spans="1:10" s="55" customFormat="1" ht="17.100000000000001" hidden="1" customHeight="1">
      <c r="A1420" s="50" t="e">
        <f t="shared" si="61"/>
        <v>#REF!</v>
      </c>
      <c r="B1420" s="51"/>
      <c r="C1420" s="51" t="s">
        <v>124</v>
      </c>
      <c r="D1420" s="52" t="s">
        <v>0</v>
      </c>
      <c r="E1420" s="112"/>
      <c r="F1420" s="53"/>
      <c r="G1420" s="117"/>
      <c r="H1420" s="56">
        <f>ROUND(SUM(H1421:H1425),5)</f>
        <v>6622.8547799999997</v>
      </c>
      <c r="I1420" s="115"/>
      <c r="J1420" s="110" t="e">
        <f>J1406</f>
        <v>#REF!</v>
      </c>
    </row>
    <row r="1421" spans="1:10" s="55" customFormat="1" ht="17.100000000000001" hidden="1" customHeight="1">
      <c r="A1421" s="50" t="e">
        <f t="shared" si="61"/>
        <v>#REF!</v>
      </c>
      <c r="B1421" s="51"/>
      <c r="C1421" s="51" t="s">
        <v>510</v>
      </c>
      <c r="D1421" s="52" t="s">
        <v>4</v>
      </c>
      <c r="E1421" s="112">
        <f>0.163</f>
        <v>0.16300000000000001</v>
      </c>
      <c r="F1421" s="53">
        <f>'NC,M KS'!P33</f>
        <v>11347.9</v>
      </c>
      <c r="G1421" s="117">
        <f>hsm</f>
        <v>1</v>
      </c>
      <c r="H1421" s="54">
        <f>ROUND(E1421*F1421*G1421,5)</f>
        <v>1849.7076999999999</v>
      </c>
      <c r="I1421" s="114"/>
      <c r="J1421" s="110" t="e">
        <f>J1406</f>
        <v>#REF!</v>
      </c>
    </row>
    <row r="1422" spans="1:10" s="55" customFormat="1" ht="17.100000000000001" hidden="1" customHeight="1">
      <c r="A1422" s="50" t="e">
        <f t="shared" si="61"/>
        <v>#REF!</v>
      </c>
      <c r="B1422" s="51"/>
      <c r="C1422" s="51" t="s">
        <v>502</v>
      </c>
      <c r="D1422" s="52" t="s">
        <v>4</v>
      </c>
      <c r="E1422" s="112">
        <f>0.213</f>
        <v>0.21299999999999999</v>
      </c>
      <c r="F1422" s="53">
        <f>'NC,M KS'!P13</f>
        <v>10053.540000000001</v>
      </c>
      <c r="G1422" s="117">
        <f>hsm</f>
        <v>1</v>
      </c>
      <c r="H1422" s="54">
        <f>ROUND(E1422*F1422*G1422,5)</f>
        <v>2141.4040199999999</v>
      </c>
      <c r="I1422" s="114"/>
      <c r="J1422" s="110" t="e">
        <f>J1406</f>
        <v>#REF!</v>
      </c>
    </row>
    <row r="1423" spans="1:10" s="55" customFormat="1" ht="17.100000000000001" hidden="1" customHeight="1">
      <c r="A1423" s="50" t="e">
        <f t="shared" si="61"/>
        <v>#REF!</v>
      </c>
      <c r="B1423" s="51"/>
      <c r="C1423" s="51" t="s">
        <v>498</v>
      </c>
      <c r="D1423" s="52" t="s">
        <v>4</v>
      </c>
      <c r="E1423" s="112">
        <f>0.213</f>
        <v>0.21299999999999999</v>
      </c>
      <c r="F1423" s="53">
        <f>'NC,M KS'!P12</f>
        <v>10053.540000000001</v>
      </c>
      <c r="G1423" s="117">
        <f>hsm</f>
        <v>1</v>
      </c>
      <c r="H1423" s="54">
        <f>ROUND(E1423*F1423*G1423,5)</f>
        <v>2141.4040199999999</v>
      </c>
      <c r="I1423" s="114"/>
      <c r="J1423" s="110" t="e">
        <f>J1406</f>
        <v>#REF!</v>
      </c>
    </row>
    <row r="1424" spans="1:10" s="55" customFormat="1" ht="17.100000000000001" hidden="1" customHeight="1">
      <c r="A1424" s="50" t="e">
        <f t="shared" si="61"/>
        <v>#REF!</v>
      </c>
      <c r="B1424" s="51"/>
      <c r="C1424" s="51" t="s">
        <v>511</v>
      </c>
      <c r="D1424" s="52" t="s">
        <v>4</v>
      </c>
      <c r="E1424" s="112">
        <f>0.05</f>
        <v>0.05</v>
      </c>
      <c r="F1424" s="53">
        <f>'NC,M KS'!P21</f>
        <v>3499.3</v>
      </c>
      <c r="G1424" s="117">
        <f>hsm</f>
        <v>1</v>
      </c>
      <c r="H1424" s="54">
        <f>ROUND(E1424*F1424*G1424,5)</f>
        <v>174.965</v>
      </c>
      <c r="I1424" s="114"/>
      <c r="J1424" s="110" t="e">
        <f>J1406</f>
        <v>#REF!</v>
      </c>
    </row>
    <row r="1425" spans="1:10" s="55" customFormat="1" ht="17.100000000000001" hidden="1" customHeight="1">
      <c r="A1425" s="50" t="e">
        <f t="shared" si="61"/>
        <v>#REF!</v>
      </c>
      <c r="B1425" s="51"/>
      <c r="C1425" s="51" t="s">
        <v>130</v>
      </c>
      <c r="D1425" s="52" t="s">
        <v>126</v>
      </c>
      <c r="E1425" s="112">
        <f>5</f>
        <v>5</v>
      </c>
      <c r="F1425" s="53"/>
      <c r="G1425" s="117"/>
      <c r="H1425" s="54">
        <f>ROUND(SUM(H1421:H1424)*E1425/100,5)</f>
        <v>315.37403999999998</v>
      </c>
      <c r="I1425" s="114"/>
      <c r="J1425" s="110" t="e">
        <f>J1406</f>
        <v>#REF!</v>
      </c>
    </row>
    <row r="1426" spans="1:10" s="55" customFormat="1" ht="17.100000000000001" hidden="1" customHeight="1">
      <c r="A1426" s="50" t="e">
        <f t="shared" si="61"/>
        <v>#REF!</v>
      </c>
      <c r="B1426" s="51"/>
      <c r="C1426" s="170" t="s">
        <v>556</v>
      </c>
      <c r="D1426" s="171" t="s">
        <v>136</v>
      </c>
      <c r="E1426" s="172" t="s">
        <v>205</v>
      </c>
      <c r="F1426" s="53"/>
      <c r="G1426" s="117"/>
      <c r="H1426" s="173" t="e">
        <f>ROUND(H1407+H1418+H1420,5)</f>
        <v>#REF!</v>
      </c>
      <c r="I1426" s="114"/>
      <c r="J1426" s="110" t="e">
        <f>J1406</f>
        <v>#REF!</v>
      </c>
    </row>
    <row r="1427" spans="1:10" s="55" customFormat="1" ht="17.100000000000001" hidden="1" customHeight="1">
      <c r="A1427" s="50" t="e">
        <f t="shared" si="61"/>
        <v>#REF!</v>
      </c>
      <c r="B1427" s="51"/>
      <c r="C1427" s="170" t="s">
        <v>557</v>
      </c>
      <c r="D1427" s="171" t="s">
        <v>204</v>
      </c>
      <c r="E1427" s="172" t="s">
        <v>558</v>
      </c>
      <c r="F1427" s="53"/>
      <c r="G1427" s="117"/>
      <c r="H1427" s="173" t="e">
        <f>SUM(H1428:H1429)</f>
        <v>#REF!</v>
      </c>
      <c r="I1427" s="114"/>
      <c r="J1427" s="715" t="e">
        <f>J1406</f>
        <v>#REF!</v>
      </c>
    </row>
    <row r="1428" spans="1:10" s="55" customFormat="1" ht="17.100000000000001" hidden="1" customHeight="1">
      <c r="A1428" s="50" t="e">
        <f t="shared" si="61"/>
        <v>#REF!</v>
      </c>
      <c r="B1428" s="51"/>
      <c r="C1428" s="51" t="s">
        <v>426</v>
      </c>
      <c r="D1428" s="52" t="s">
        <v>559</v>
      </c>
      <c r="E1428" s="116">
        <f>cpc</f>
        <v>0.7</v>
      </c>
      <c r="F1428" s="174"/>
      <c r="G1428" s="175"/>
      <c r="H1428" s="54" t="e">
        <f>E1428*H1418</f>
        <v>#REF!</v>
      </c>
      <c r="I1428" s="114"/>
      <c r="J1428" s="715" t="e">
        <f>J1406</f>
        <v>#REF!</v>
      </c>
    </row>
    <row r="1429" spans="1:10" s="55" customFormat="1" ht="30" hidden="1">
      <c r="A1429" s="50" t="e">
        <f t="shared" si="61"/>
        <v>#REF!</v>
      </c>
      <c r="B1429" s="51"/>
      <c r="C1429" s="78" t="s">
        <v>560</v>
      </c>
      <c r="D1429" s="79" t="s">
        <v>561</v>
      </c>
      <c r="E1429" s="176">
        <f>hmc</f>
        <v>0.05</v>
      </c>
      <c r="F1429" s="53"/>
      <c r="G1429" s="113"/>
      <c r="H1429" s="54" t="e">
        <f>E1429*H1426</f>
        <v>#REF!</v>
      </c>
      <c r="I1429" s="114"/>
      <c r="J1429" s="715" t="e">
        <f>J1406</f>
        <v>#REF!</v>
      </c>
    </row>
    <row r="1430" spans="1:10" s="55" customFormat="1" ht="17.100000000000001" hidden="1" customHeight="1">
      <c r="A1430" s="50" t="e">
        <f t="shared" si="61"/>
        <v>#REF!</v>
      </c>
      <c r="B1430" s="51"/>
      <c r="C1430" s="170" t="s">
        <v>562</v>
      </c>
      <c r="D1430" s="171" t="s">
        <v>563</v>
      </c>
      <c r="E1430" s="179">
        <f>tn</f>
        <v>0.06</v>
      </c>
      <c r="F1430" s="177"/>
      <c r="G1430" s="178"/>
      <c r="H1430" s="181" t="e">
        <f>SUM(H1426:H1427)*E1430</f>
        <v>#REF!</v>
      </c>
      <c r="I1430" s="114"/>
      <c r="J1430" s="715" t="e">
        <f>J1406</f>
        <v>#REF!</v>
      </c>
    </row>
    <row r="1431" spans="1:10" s="55" customFormat="1" ht="17.100000000000001" hidden="1" customHeight="1">
      <c r="A1431" s="50" t="e">
        <f t="shared" si="61"/>
        <v>#REF!</v>
      </c>
      <c r="B1431" s="51"/>
      <c r="C1431" s="92" t="s">
        <v>1879</v>
      </c>
      <c r="D1431" s="171" t="s">
        <v>227</v>
      </c>
      <c r="E1431" s="180" t="s">
        <v>564</v>
      </c>
      <c r="F1431" s="174"/>
      <c r="G1431" s="175"/>
      <c r="H1431" s="173" t="e">
        <f>SUM(H1432:H1433)</f>
        <v>#REF!</v>
      </c>
      <c r="I1431" s="114"/>
      <c r="J1431" s="715" t="e">
        <f>J1406</f>
        <v>#REF!</v>
      </c>
    </row>
    <row r="1432" spans="1:10" s="55" customFormat="1" ht="17.100000000000001" hidden="1" customHeight="1">
      <c r="A1432" s="50" t="e">
        <f t="shared" si="61"/>
        <v>#REF!</v>
      </c>
      <c r="B1432" s="51"/>
      <c r="C1432" s="51" t="s">
        <v>427</v>
      </c>
      <c r="D1432" s="52" t="s">
        <v>428</v>
      </c>
      <c r="E1432" s="1093">
        <f>paks</f>
        <v>0</v>
      </c>
      <c r="F1432" s="174"/>
      <c r="G1432" s="175"/>
      <c r="H1432" s="54" t="e">
        <f>(H1426+H1427+H1430)*E1432</f>
        <v>#REF!</v>
      </c>
      <c r="I1432" s="114"/>
      <c r="J1432" s="715" t="e">
        <f>J1406</f>
        <v>#REF!</v>
      </c>
    </row>
    <row r="1433" spans="1:10" s="55" customFormat="1" ht="17.100000000000001" hidden="1" customHeight="1">
      <c r="A1433" s="50" t="e">
        <f t="shared" si="61"/>
        <v>#REF!</v>
      </c>
      <c r="B1433" s="51"/>
      <c r="C1433" s="51" t="s">
        <v>429</v>
      </c>
      <c r="D1433" s="52" t="s">
        <v>430</v>
      </c>
      <c r="E1433" s="1093">
        <f>bcks</f>
        <v>0.03</v>
      </c>
      <c r="F1433" s="53"/>
      <c r="G1433" s="113"/>
      <c r="H1433" s="54" t="e">
        <f>(H1426+H1427+H1430)*E1433</f>
        <v>#REF!</v>
      </c>
      <c r="I1433" s="114"/>
      <c r="J1433" s="715" t="e">
        <f>J1406</f>
        <v>#REF!</v>
      </c>
    </row>
    <row r="1434" spans="1:10" s="55" customFormat="1" ht="17.100000000000001" hidden="1" customHeight="1">
      <c r="A1434" s="50" t="e">
        <f t="shared" si="61"/>
        <v>#REF!</v>
      </c>
      <c r="B1434" s="51"/>
      <c r="C1434" s="170" t="s">
        <v>565</v>
      </c>
      <c r="D1434" s="171" t="s">
        <v>218</v>
      </c>
      <c r="E1434" s="172" t="s">
        <v>566</v>
      </c>
      <c r="F1434" s="53"/>
      <c r="G1434" s="113"/>
      <c r="H1434" s="173" t="e">
        <f>H1426+H1427+H1430+H1431</f>
        <v>#REF!</v>
      </c>
      <c r="I1434" s="114"/>
      <c r="J1434" s="715" t="e">
        <f>J1406</f>
        <v>#REF!</v>
      </c>
    </row>
    <row r="1435" spans="1:10" s="55" customFormat="1" ht="17.100000000000001" hidden="1" customHeight="1">
      <c r="A1435" s="50" t="e">
        <f t="shared" si="61"/>
        <v>#REF!</v>
      </c>
      <c r="B1435" s="51"/>
      <c r="C1435" s="51" t="s">
        <v>567</v>
      </c>
      <c r="D1435" s="52" t="s">
        <v>222</v>
      </c>
      <c r="E1435" s="112" t="s">
        <v>1917</v>
      </c>
      <c r="F1435" s="174"/>
      <c r="G1435" s="175"/>
      <c r="H1435" s="54" t="e">
        <f>ROUND(H1434*10/100,5)</f>
        <v>#REF!</v>
      </c>
      <c r="I1435" s="114"/>
      <c r="J1435" s="715" t="e">
        <f>J1406</f>
        <v>#REF!</v>
      </c>
    </row>
    <row r="1436" spans="1:10" s="55" customFormat="1" ht="17.100000000000001" hidden="1" customHeight="1">
      <c r="A1436" s="50" t="e">
        <f t="shared" si="61"/>
        <v>#REF!</v>
      </c>
      <c r="B1436" s="51"/>
      <c r="C1436" s="170" t="s">
        <v>568</v>
      </c>
      <c r="D1436" s="171" t="s">
        <v>225</v>
      </c>
      <c r="E1436" s="172" t="s">
        <v>192</v>
      </c>
      <c r="F1436" s="53"/>
      <c r="G1436" s="117"/>
      <c r="H1436" s="56" t="e">
        <f>ROUND(H1434+H1435,5)</f>
        <v>#REF!</v>
      </c>
      <c r="I1436" s="115"/>
      <c r="J1436" s="110" t="e">
        <f>J1406</f>
        <v>#REF!</v>
      </c>
    </row>
    <row r="1437" spans="1:10" s="263" customFormat="1" ht="17.100000000000001" hidden="1" customHeight="1">
      <c r="A1437" s="264" t="e">
        <f t="shared" si="61"/>
        <v>#REF!</v>
      </c>
      <c r="B1437" s="265" t="s">
        <v>407</v>
      </c>
      <c r="C1437" s="265" t="s">
        <v>408</v>
      </c>
      <c r="D1437" s="266" t="s">
        <v>332</v>
      </c>
      <c r="E1437" s="270"/>
      <c r="F1437" s="267"/>
      <c r="G1437" s="271"/>
      <c r="H1437" s="268" t="e">
        <f>H1461</f>
        <v>#REF!</v>
      </c>
      <c r="I1437" s="272"/>
      <c r="J1437" s="273">
        <f>IF(SUMIF(Khaosat!$B$6:$B$47,'PT giaKS'!B1437,Khaosat!$I$6:$I$47)&lt;&gt;0,$J$6,0)</f>
        <v>0</v>
      </c>
    </row>
    <row r="1438" spans="1:10" s="55" customFormat="1" ht="17.100000000000001" hidden="1" customHeight="1">
      <c r="A1438" s="50" t="e">
        <f t="shared" si="61"/>
        <v>#REF!</v>
      </c>
      <c r="B1438" s="51"/>
      <c r="C1438" s="51" t="s">
        <v>128</v>
      </c>
      <c r="D1438" s="52" t="s">
        <v>0</v>
      </c>
      <c r="E1438" s="112"/>
      <c r="F1438" s="53"/>
      <c r="G1438" s="117"/>
      <c r="H1438" s="56">
        <f>ROUND(SUM(H1439:H1441),5)</f>
        <v>5682.16</v>
      </c>
      <c r="I1438" s="115"/>
      <c r="J1438" s="110">
        <f>J1437</f>
        <v>0</v>
      </c>
    </row>
    <row r="1439" spans="1:10" s="55" customFormat="1" ht="17.100000000000001" hidden="1" customHeight="1">
      <c r="A1439" s="50" t="e">
        <f t="shared" si="61"/>
        <v>#REF!</v>
      </c>
      <c r="B1439" s="51"/>
      <c r="C1439" s="51" t="s">
        <v>512</v>
      </c>
      <c r="D1439" s="52" t="s">
        <v>451</v>
      </c>
      <c r="E1439" s="112">
        <f>0.02</f>
        <v>0.02</v>
      </c>
      <c r="F1439" s="53">
        <f>VLKS!Q26</f>
        <v>110000</v>
      </c>
      <c r="G1439" s="117">
        <f>hsvl</f>
        <v>1</v>
      </c>
      <c r="H1439" s="54">
        <f>ROUND(E1439*F1439*G1439,5)</f>
        <v>2200</v>
      </c>
      <c r="I1439" s="114"/>
      <c r="J1439" s="110">
        <f>J1437</f>
        <v>0</v>
      </c>
    </row>
    <row r="1440" spans="1:10" s="55" customFormat="1" ht="17.100000000000001" hidden="1" customHeight="1">
      <c r="A1440" s="50" t="e">
        <f t="shared" si="61"/>
        <v>#REF!</v>
      </c>
      <c r="B1440" s="51"/>
      <c r="C1440" s="51" t="s">
        <v>494</v>
      </c>
      <c r="D1440" s="52" t="s">
        <v>495</v>
      </c>
      <c r="E1440" s="112">
        <f>1.76</f>
        <v>1.76</v>
      </c>
      <c r="F1440" s="53">
        <f>VLKS!Q58</f>
        <v>1685</v>
      </c>
      <c r="G1440" s="117">
        <f>hsvl</f>
        <v>1</v>
      </c>
      <c r="H1440" s="54">
        <f>ROUND(E1440*F1440*G1440,5)</f>
        <v>2965.6</v>
      </c>
      <c r="I1440" s="114"/>
      <c r="J1440" s="110">
        <f>J1437</f>
        <v>0</v>
      </c>
    </row>
    <row r="1441" spans="1:10" s="55" customFormat="1" ht="17.100000000000001" hidden="1" customHeight="1">
      <c r="A1441" s="50" t="e">
        <f t="shared" si="61"/>
        <v>#REF!</v>
      </c>
      <c r="B1441" s="51"/>
      <c r="C1441" s="51" t="s">
        <v>127</v>
      </c>
      <c r="D1441" s="52" t="s">
        <v>126</v>
      </c>
      <c r="E1441" s="112">
        <f>10</f>
        <v>10</v>
      </c>
      <c r="F1441" s="53"/>
      <c r="G1441" s="117"/>
      <c r="H1441" s="54">
        <f>ROUND(SUM(H1439:H1440)*E1441/100,5)</f>
        <v>516.55999999999995</v>
      </c>
      <c r="I1441" s="114"/>
      <c r="J1441" s="110">
        <f>J1437</f>
        <v>0</v>
      </c>
    </row>
    <row r="1442" spans="1:10" s="55" customFormat="1" ht="17.100000000000001" hidden="1" customHeight="1">
      <c r="A1442" s="50" t="e">
        <f t="shared" si="61"/>
        <v>#REF!</v>
      </c>
      <c r="B1442" s="51"/>
      <c r="C1442" s="51" t="s">
        <v>125</v>
      </c>
      <c r="D1442" s="52" t="s">
        <v>0</v>
      </c>
      <c r="E1442" s="112"/>
      <c r="F1442" s="53"/>
      <c r="G1442" s="117"/>
      <c r="H1442" s="56" t="e">
        <f>ROUND(SUM(H1443:H1443),5)</f>
        <v>#REF!</v>
      </c>
      <c r="I1442" s="115"/>
      <c r="J1442" s="110">
        <f>J1437</f>
        <v>0</v>
      </c>
    </row>
    <row r="1443" spans="1:10" s="55" customFormat="1" ht="17.100000000000001" hidden="1" customHeight="1">
      <c r="A1443" s="50" t="e">
        <f t="shared" si="61"/>
        <v>#REF!</v>
      </c>
      <c r="B1443" s="51"/>
      <c r="C1443" s="51" t="s">
        <v>424</v>
      </c>
      <c r="D1443" s="52" t="s">
        <v>3</v>
      </c>
      <c r="E1443" s="112">
        <f>1.24</f>
        <v>1.24</v>
      </c>
      <c r="F1443" s="53" t="e">
        <f>'NC,M KS'!P6</f>
        <v>#REF!</v>
      </c>
      <c r="G1443" s="117">
        <f>hsnc</f>
        <v>1</v>
      </c>
      <c r="H1443" s="54" t="e">
        <f>ROUND(E1443*F1443*G1443,5)</f>
        <v>#REF!</v>
      </c>
      <c r="I1443" s="114"/>
      <c r="J1443" s="110">
        <f>J1437</f>
        <v>0</v>
      </c>
    </row>
    <row r="1444" spans="1:10" s="55" customFormat="1" ht="17.100000000000001" hidden="1" customHeight="1">
      <c r="A1444" s="50" t="e">
        <f t="shared" si="61"/>
        <v>#REF!</v>
      </c>
      <c r="B1444" s="51"/>
      <c r="C1444" s="51" t="s">
        <v>124</v>
      </c>
      <c r="D1444" s="52" t="s">
        <v>0</v>
      </c>
      <c r="E1444" s="112"/>
      <c r="F1444" s="53"/>
      <c r="G1444" s="117"/>
      <c r="H1444" s="56">
        <f>ROUND(SUM(H1445:H1450),5)</f>
        <v>9683.9889899999998</v>
      </c>
      <c r="I1444" s="115"/>
      <c r="J1444" s="110">
        <f>J1437</f>
        <v>0</v>
      </c>
    </row>
    <row r="1445" spans="1:10" s="55" customFormat="1" ht="17.100000000000001" hidden="1" customHeight="1">
      <c r="A1445" s="50" t="e">
        <f t="shared" si="61"/>
        <v>#REF!</v>
      </c>
      <c r="B1445" s="51"/>
      <c r="C1445" s="51" t="s">
        <v>513</v>
      </c>
      <c r="D1445" s="52" t="s">
        <v>4</v>
      </c>
      <c r="E1445" s="112">
        <f>0.035</f>
        <v>3.5000000000000003E-2</v>
      </c>
      <c r="F1445" s="53">
        <f>'NC,M KS'!P31</f>
        <v>5833.1</v>
      </c>
      <c r="G1445" s="117">
        <f>hsm</f>
        <v>1</v>
      </c>
      <c r="H1445" s="54">
        <f>ROUND(E1445*F1445*G1445,5)</f>
        <v>204.1585</v>
      </c>
      <c r="I1445" s="114"/>
      <c r="J1445" s="110">
        <f>J1437</f>
        <v>0</v>
      </c>
    </row>
    <row r="1446" spans="1:10" s="55" customFormat="1" ht="17.100000000000001" hidden="1" customHeight="1">
      <c r="A1446" s="50" t="e">
        <f t="shared" si="61"/>
        <v>#REF!</v>
      </c>
      <c r="B1446" s="51"/>
      <c r="C1446" s="51" t="s">
        <v>514</v>
      </c>
      <c r="D1446" s="52" t="s">
        <v>4</v>
      </c>
      <c r="E1446" s="112">
        <f>0.025</f>
        <v>2.5000000000000001E-2</v>
      </c>
      <c r="F1446" s="53">
        <f>'NC,M KS'!P15</f>
        <v>6314.76</v>
      </c>
      <c r="G1446" s="117">
        <f>hsm</f>
        <v>1</v>
      </c>
      <c r="H1446" s="54">
        <f>ROUND(E1446*F1446*G1446,5)</f>
        <v>157.869</v>
      </c>
      <c r="I1446" s="114"/>
      <c r="J1446" s="110">
        <f>J1437</f>
        <v>0</v>
      </c>
    </row>
    <row r="1447" spans="1:10" s="55" customFormat="1" ht="17.100000000000001" hidden="1" customHeight="1">
      <c r="A1447" s="50" t="e">
        <f t="shared" si="61"/>
        <v>#REF!</v>
      </c>
      <c r="B1447" s="51"/>
      <c r="C1447" s="51" t="s">
        <v>502</v>
      </c>
      <c r="D1447" s="52" t="s">
        <v>4</v>
      </c>
      <c r="E1447" s="112">
        <f>0.338</f>
        <v>0.33800000000000002</v>
      </c>
      <c r="F1447" s="53">
        <f>'NC,M KS'!P13</f>
        <v>10053.540000000001</v>
      </c>
      <c r="G1447" s="117">
        <f>hsm</f>
        <v>1</v>
      </c>
      <c r="H1447" s="54">
        <f>ROUND(E1447*F1447*G1447,5)</f>
        <v>3398.0965200000001</v>
      </c>
      <c r="I1447" s="114"/>
      <c r="J1447" s="110">
        <f>J1437</f>
        <v>0</v>
      </c>
    </row>
    <row r="1448" spans="1:10" s="55" customFormat="1" ht="17.100000000000001" hidden="1" customHeight="1">
      <c r="A1448" s="50" t="e">
        <f t="shared" si="61"/>
        <v>#REF!</v>
      </c>
      <c r="B1448" s="51"/>
      <c r="C1448" s="51" t="s">
        <v>498</v>
      </c>
      <c r="D1448" s="52" t="s">
        <v>4</v>
      </c>
      <c r="E1448" s="112">
        <f>0.321</f>
        <v>0.32100000000000001</v>
      </c>
      <c r="F1448" s="53">
        <f>'NC,M KS'!P12</f>
        <v>10053.540000000001</v>
      </c>
      <c r="G1448" s="117">
        <f>hsm</f>
        <v>1</v>
      </c>
      <c r="H1448" s="54">
        <f>ROUND(E1448*F1448*G1448,5)</f>
        <v>3227.1863400000002</v>
      </c>
      <c r="I1448" s="114"/>
      <c r="J1448" s="110">
        <f>J1437</f>
        <v>0</v>
      </c>
    </row>
    <row r="1449" spans="1:10" s="55" customFormat="1" ht="17.100000000000001" hidden="1" customHeight="1">
      <c r="A1449" s="50" t="e">
        <f t="shared" si="61"/>
        <v>#REF!</v>
      </c>
      <c r="B1449" s="51"/>
      <c r="C1449" s="51" t="s">
        <v>510</v>
      </c>
      <c r="D1449" s="52" t="s">
        <v>4</v>
      </c>
      <c r="E1449" s="112">
        <f>0.197</f>
        <v>0.19700000000000001</v>
      </c>
      <c r="F1449" s="53">
        <f>'NC,M KS'!P33</f>
        <v>11347.9</v>
      </c>
      <c r="G1449" s="117">
        <f>hsm</f>
        <v>1</v>
      </c>
      <c r="H1449" s="54">
        <f>ROUND(E1449*F1449*G1449,5)</f>
        <v>2235.5363000000002</v>
      </c>
      <c r="I1449" s="114"/>
      <c r="J1449" s="110">
        <f>J1437</f>
        <v>0</v>
      </c>
    </row>
    <row r="1450" spans="1:10" s="55" customFormat="1" ht="17.100000000000001" hidden="1" customHeight="1">
      <c r="A1450" s="50" t="e">
        <f t="shared" si="61"/>
        <v>#REF!</v>
      </c>
      <c r="B1450" s="51"/>
      <c r="C1450" s="51" t="s">
        <v>130</v>
      </c>
      <c r="D1450" s="52" t="s">
        <v>126</v>
      </c>
      <c r="E1450" s="112">
        <f>5</f>
        <v>5</v>
      </c>
      <c r="F1450" s="53"/>
      <c r="G1450" s="117"/>
      <c r="H1450" s="54">
        <f>ROUND(SUM(H1445:H1449)*E1450/100,5)</f>
        <v>461.14233000000002</v>
      </c>
      <c r="I1450" s="114"/>
      <c r="J1450" s="110">
        <f>J1437</f>
        <v>0</v>
      </c>
    </row>
    <row r="1451" spans="1:10" s="55" customFormat="1" ht="17.100000000000001" hidden="1" customHeight="1">
      <c r="A1451" s="50" t="e">
        <f t="shared" si="61"/>
        <v>#REF!</v>
      </c>
      <c r="B1451" s="51"/>
      <c r="C1451" s="170" t="s">
        <v>556</v>
      </c>
      <c r="D1451" s="171" t="s">
        <v>136</v>
      </c>
      <c r="E1451" s="172" t="s">
        <v>205</v>
      </c>
      <c r="F1451" s="53"/>
      <c r="G1451" s="117"/>
      <c r="H1451" s="173" t="e">
        <f>ROUND(H1438+H1442+H1444,5)</f>
        <v>#REF!</v>
      </c>
      <c r="I1451" s="114"/>
      <c r="J1451" s="110">
        <f>J1437</f>
        <v>0</v>
      </c>
    </row>
    <row r="1452" spans="1:10" s="55" customFormat="1" ht="17.100000000000001" hidden="1" customHeight="1">
      <c r="A1452" s="50" t="e">
        <f t="shared" si="61"/>
        <v>#REF!</v>
      </c>
      <c r="B1452" s="51"/>
      <c r="C1452" s="170" t="s">
        <v>557</v>
      </c>
      <c r="D1452" s="171" t="s">
        <v>204</v>
      </c>
      <c r="E1452" s="172" t="s">
        <v>558</v>
      </c>
      <c r="F1452" s="53"/>
      <c r="G1452" s="117"/>
      <c r="H1452" s="173" t="e">
        <f>SUM(H1453:H1454)</f>
        <v>#REF!</v>
      </c>
      <c r="I1452" s="114"/>
      <c r="J1452" s="110">
        <f>J1437</f>
        <v>0</v>
      </c>
    </row>
    <row r="1453" spans="1:10" s="55" customFormat="1" ht="17.100000000000001" hidden="1" customHeight="1">
      <c r="A1453" s="50" t="e">
        <f t="shared" si="61"/>
        <v>#REF!</v>
      </c>
      <c r="B1453" s="51"/>
      <c r="C1453" s="51" t="s">
        <v>426</v>
      </c>
      <c r="D1453" s="52" t="s">
        <v>559</v>
      </c>
      <c r="E1453" s="116">
        <f>cpc</f>
        <v>0.7</v>
      </c>
      <c r="F1453" s="174"/>
      <c r="G1453" s="175"/>
      <c r="H1453" s="54" t="e">
        <f>E1453*H1442</f>
        <v>#REF!</v>
      </c>
      <c r="I1453" s="114"/>
      <c r="J1453" s="110">
        <f>J1437</f>
        <v>0</v>
      </c>
    </row>
    <row r="1454" spans="1:10" s="55" customFormat="1" ht="17.100000000000001" hidden="1" customHeight="1">
      <c r="A1454" s="50" t="e">
        <f t="shared" si="61"/>
        <v>#REF!</v>
      </c>
      <c r="B1454" s="51"/>
      <c r="C1454" s="78" t="s">
        <v>560</v>
      </c>
      <c r="D1454" s="79" t="s">
        <v>561</v>
      </c>
      <c r="E1454" s="176">
        <f>hmc</f>
        <v>0.05</v>
      </c>
      <c r="F1454" s="53"/>
      <c r="G1454" s="113"/>
      <c r="H1454" s="54" t="e">
        <f>E1454*H1451</f>
        <v>#REF!</v>
      </c>
      <c r="I1454" s="114"/>
      <c r="J1454" s="110">
        <f>J1437</f>
        <v>0</v>
      </c>
    </row>
    <row r="1455" spans="1:10" s="55" customFormat="1" ht="17.100000000000001" hidden="1" customHeight="1">
      <c r="A1455" s="50" t="e">
        <f t="shared" si="61"/>
        <v>#REF!</v>
      </c>
      <c r="B1455" s="51"/>
      <c r="C1455" s="170" t="s">
        <v>562</v>
      </c>
      <c r="D1455" s="171" t="s">
        <v>563</v>
      </c>
      <c r="E1455" s="179">
        <f>tn</f>
        <v>0.06</v>
      </c>
      <c r="F1455" s="177"/>
      <c r="G1455" s="178"/>
      <c r="H1455" s="181" t="e">
        <f>SUM(H1451:H1452)*E1455</f>
        <v>#REF!</v>
      </c>
      <c r="I1455" s="114"/>
      <c r="J1455" s="110">
        <f>J1437</f>
        <v>0</v>
      </c>
    </row>
    <row r="1456" spans="1:10" s="55" customFormat="1" ht="17.100000000000001" hidden="1" customHeight="1">
      <c r="A1456" s="50" t="e">
        <f t="shared" ref="A1456:A1519" si="64">IF(B1456&lt;&gt;0,A1455+J1456,A1455)</f>
        <v>#REF!</v>
      </c>
      <c r="B1456" s="51"/>
      <c r="C1456" s="92" t="s">
        <v>1879</v>
      </c>
      <c r="D1456" s="171" t="s">
        <v>227</v>
      </c>
      <c r="E1456" s="180" t="s">
        <v>564</v>
      </c>
      <c r="F1456" s="174"/>
      <c r="G1456" s="175"/>
      <c r="H1456" s="173" t="e">
        <f>SUM(H1457:H1458)</f>
        <v>#REF!</v>
      </c>
      <c r="I1456" s="114"/>
      <c r="J1456" s="110">
        <f>J1437</f>
        <v>0</v>
      </c>
    </row>
    <row r="1457" spans="1:10" s="55" customFormat="1" ht="17.100000000000001" hidden="1" customHeight="1">
      <c r="A1457" s="50" t="e">
        <f t="shared" si="64"/>
        <v>#REF!</v>
      </c>
      <c r="B1457" s="51"/>
      <c r="C1457" s="51" t="s">
        <v>427</v>
      </c>
      <c r="D1457" s="52" t="s">
        <v>428</v>
      </c>
      <c r="E1457" s="1093">
        <f>paks</f>
        <v>0</v>
      </c>
      <c r="F1457" s="174"/>
      <c r="G1457" s="175"/>
      <c r="H1457" s="54" t="e">
        <f>(H1451+H1452+H1455)*E1457</f>
        <v>#REF!</v>
      </c>
      <c r="I1457" s="114"/>
      <c r="J1457" s="110">
        <f>J1437</f>
        <v>0</v>
      </c>
    </row>
    <row r="1458" spans="1:10" s="55" customFormat="1" ht="17.100000000000001" hidden="1" customHeight="1">
      <c r="A1458" s="50" t="e">
        <f t="shared" si="64"/>
        <v>#REF!</v>
      </c>
      <c r="B1458" s="51"/>
      <c r="C1458" s="51" t="s">
        <v>429</v>
      </c>
      <c r="D1458" s="52" t="s">
        <v>430</v>
      </c>
      <c r="E1458" s="1093">
        <f>bcks</f>
        <v>0.03</v>
      </c>
      <c r="F1458" s="53"/>
      <c r="G1458" s="113"/>
      <c r="H1458" s="54" t="e">
        <f>(H1451+H1452+H1455)*E1458</f>
        <v>#REF!</v>
      </c>
      <c r="I1458" s="114"/>
      <c r="J1458" s="715">
        <f>J1437</f>
        <v>0</v>
      </c>
    </row>
    <row r="1459" spans="1:10" s="55" customFormat="1" ht="17.100000000000001" hidden="1" customHeight="1">
      <c r="A1459" s="50" t="e">
        <f t="shared" si="64"/>
        <v>#REF!</v>
      </c>
      <c r="B1459" s="51"/>
      <c r="C1459" s="170" t="s">
        <v>565</v>
      </c>
      <c r="D1459" s="171" t="s">
        <v>218</v>
      </c>
      <c r="E1459" s="172" t="s">
        <v>566</v>
      </c>
      <c r="F1459" s="53"/>
      <c r="G1459" s="113"/>
      <c r="H1459" s="173" t="e">
        <f>H1451+H1452+H1455+H1456</f>
        <v>#REF!</v>
      </c>
      <c r="I1459" s="114"/>
      <c r="J1459" s="715">
        <f>J1437</f>
        <v>0</v>
      </c>
    </row>
    <row r="1460" spans="1:10" s="55" customFormat="1" ht="17.100000000000001" hidden="1" customHeight="1">
      <c r="A1460" s="50" t="e">
        <f t="shared" si="64"/>
        <v>#REF!</v>
      </c>
      <c r="B1460" s="51"/>
      <c r="C1460" s="51" t="s">
        <v>567</v>
      </c>
      <c r="D1460" s="52" t="s">
        <v>222</v>
      </c>
      <c r="E1460" s="112" t="s">
        <v>1917</v>
      </c>
      <c r="F1460" s="174"/>
      <c r="G1460" s="175"/>
      <c r="H1460" s="54" t="e">
        <f>ROUND(H1459*10/100,5)</f>
        <v>#REF!</v>
      </c>
      <c r="I1460" s="114"/>
      <c r="J1460" s="715">
        <f>J1437</f>
        <v>0</v>
      </c>
    </row>
    <row r="1461" spans="1:10" s="55" customFormat="1" ht="17.100000000000001" hidden="1" customHeight="1">
      <c r="A1461" s="50" t="e">
        <f t="shared" si="64"/>
        <v>#REF!</v>
      </c>
      <c r="B1461" s="51"/>
      <c r="C1461" s="170" t="s">
        <v>568</v>
      </c>
      <c r="D1461" s="171" t="s">
        <v>225</v>
      </c>
      <c r="E1461" s="172" t="s">
        <v>192</v>
      </c>
      <c r="F1461" s="53"/>
      <c r="G1461" s="117"/>
      <c r="H1461" s="56" t="e">
        <f>ROUND(H1459+H1460,5)</f>
        <v>#REF!</v>
      </c>
      <c r="I1461" s="115"/>
      <c r="J1461" s="715">
        <f>J1437</f>
        <v>0</v>
      </c>
    </row>
    <row r="1462" spans="1:10" s="263" customFormat="1" ht="17.100000000000001" customHeight="1">
      <c r="A1462" s="264" t="e">
        <f t="shared" si="64"/>
        <v>#REF!</v>
      </c>
      <c r="B1462" s="265" t="s">
        <v>335</v>
      </c>
      <c r="C1462" s="265" t="s">
        <v>336</v>
      </c>
      <c r="D1462" s="266" t="s">
        <v>332</v>
      </c>
      <c r="E1462" s="270"/>
      <c r="F1462" s="267"/>
      <c r="G1462" s="271"/>
      <c r="H1462" s="268" t="e">
        <f>H1486</f>
        <v>#REF!</v>
      </c>
      <c r="I1462" s="272"/>
      <c r="J1462" s="273" t="e">
        <f>IF(SUMIF(Khaosat!$B$6:$B$47,'PT giaKS'!B1462,Khaosat!$I$6:$I$47)&lt;&gt;0,$J$6,0)</f>
        <v>#REF!</v>
      </c>
    </row>
    <row r="1463" spans="1:10" s="55" customFormat="1" ht="17.100000000000001" customHeight="1">
      <c r="A1463" s="295" t="e">
        <f t="shared" si="64"/>
        <v>#REF!</v>
      </c>
      <c r="B1463" s="51"/>
      <c r="C1463" s="51" t="s">
        <v>128</v>
      </c>
      <c r="D1463" s="52" t="s">
        <v>0</v>
      </c>
      <c r="E1463" s="112"/>
      <c r="F1463" s="53"/>
      <c r="G1463" s="117"/>
      <c r="H1463" s="56">
        <f>ROUND(SUM(H1464:H1466),5)</f>
        <v>12299.705</v>
      </c>
      <c r="I1463" s="115"/>
      <c r="J1463" s="110" t="e">
        <f>J1462</f>
        <v>#REF!</v>
      </c>
    </row>
    <row r="1464" spans="1:10" s="55" customFormat="1" ht="17.100000000000001" customHeight="1">
      <c r="A1464" s="295" t="e">
        <f t="shared" si="64"/>
        <v>#REF!</v>
      </c>
      <c r="B1464" s="51"/>
      <c r="C1464" s="51" t="s">
        <v>515</v>
      </c>
      <c r="D1464" s="52" t="s">
        <v>451</v>
      </c>
      <c r="E1464" s="112">
        <f>0.045</f>
        <v>4.4999999999999998E-2</v>
      </c>
      <c r="F1464" s="53">
        <f>VLKS!Q27</f>
        <v>150000</v>
      </c>
      <c r="G1464" s="117">
        <f>hsvl</f>
        <v>1</v>
      </c>
      <c r="H1464" s="54">
        <f>ROUND(E1464*F1464*G1464,5)</f>
        <v>6750</v>
      </c>
      <c r="I1464" s="114"/>
      <c r="J1464" s="110" t="e">
        <f>J1462</f>
        <v>#REF!</v>
      </c>
    </row>
    <row r="1465" spans="1:10" s="55" customFormat="1" ht="17.100000000000001" customHeight="1">
      <c r="A1465" s="295" t="e">
        <f t="shared" si="64"/>
        <v>#REF!</v>
      </c>
      <c r="B1465" s="51"/>
      <c r="C1465" s="51" t="s">
        <v>494</v>
      </c>
      <c r="D1465" s="52" t="s">
        <v>495</v>
      </c>
      <c r="E1465" s="112">
        <f>2.63</f>
        <v>2.63</v>
      </c>
      <c r="F1465" s="53">
        <f>VLKS!Q58</f>
        <v>1685</v>
      </c>
      <c r="G1465" s="117">
        <f>hsvl</f>
        <v>1</v>
      </c>
      <c r="H1465" s="54">
        <f>ROUND(E1465*F1465*G1465,5)</f>
        <v>4431.55</v>
      </c>
      <c r="I1465" s="114"/>
      <c r="J1465" s="110" t="e">
        <f>J1462</f>
        <v>#REF!</v>
      </c>
    </row>
    <row r="1466" spans="1:10" s="55" customFormat="1" ht="17.100000000000001" customHeight="1">
      <c r="A1466" s="295" t="e">
        <f t="shared" si="64"/>
        <v>#REF!</v>
      </c>
      <c r="B1466" s="51"/>
      <c r="C1466" s="51" t="s">
        <v>127</v>
      </c>
      <c r="D1466" s="52" t="s">
        <v>126</v>
      </c>
      <c r="E1466" s="112">
        <f>10</f>
        <v>10</v>
      </c>
      <c r="F1466" s="53"/>
      <c r="G1466" s="117"/>
      <c r="H1466" s="54">
        <f>ROUND(SUM(H1464:H1465)*E1466/100,5)</f>
        <v>1118.155</v>
      </c>
      <c r="I1466" s="114"/>
      <c r="J1466" s="110" t="e">
        <f>J1462</f>
        <v>#REF!</v>
      </c>
    </row>
    <row r="1467" spans="1:10" s="55" customFormat="1" ht="17.100000000000001" customHeight="1">
      <c r="A1467" s="295" t="e">
        <f t="shared" si="64"/>
        <v>#REF!</v>
      </c>
      <c r="B1467" s="51"/>
      <c r="C1467" s="51" t="s">
        <v>125</v>
      </c>
      <c r="D1467" s="52" t="s">
        <v>0</v>
      </c>
      <c r="E1467" s="112"/>
      <c r="F1467" s="53"/>
      <c r="G1467" s="117"/>
      <c r="H1467" s="56" t="e">
        <f>ROUND(SUM(H1468:H1468),5)</f>
        <v>#REF!</v>
      </c>
      <c r="I1467" s="115"/>
      <c r="J1467" s="110" t="e">
        <f>J1462</f>
        <v>#REF!</v>
      </c>
    </row>
    <row r="1468" spans="1:10" s="55" customFormat="1" ht="17.100000000000001" customHeight="1">
      <c r="A1468" s="295" t="e">
        <f t="shared" si="64"/>
        <v>#REF!</v>
      </c>
      <c r="B1468" s="51"/>
      <c r="C1468" s="51" t="s">
        <v>424</v>
      </c>
      <c r="D1468" s="52" t="s">
        <v>3</v>
      </c>
      <c r="E1468" s="112">
        <f>1.378</f>
        <v>1.3779999999999999</v>
      </c>
      <c r="F1468" s="53" t="e">
        <f>'NC,M KS'!P6</f>
        <v>#REF!</v>
      </c>
      <c r="G1468" s="117">
        <f>hsnc</f>
        <v>1</v>
      </c>
      <c r="H1468" s="54" t="e">
        <f>ROUND(E1468*F1468*G1468,5)</f>
        <v>#REF!</v>
      </c>
      <c r="I1468" s="114"/>
      <c r="J1468" s="110" t="e">
        <f>J1462</f>
        <v>#REF!</v>
      </c>
    </row>
    <row r="1469" spans="1:10" s="55" customFormat="1" ht="17.100000000000001" customHeight="1">
      <c r="A1469" s="295" t="e">
        <f t="shared" si="64"/>
        <v>#REF!</v>
      </c>
      <c r="B1469" s="51"/>
      <c r="C1469" s="51" t="s">
        <v>124</v>
      </c>
      <c r="D1469" s="52" t="s">
        <v>0</v>
      </c>
      <c r="E1469" s="112"/>
      <c r="F1469" s="53"/>
      <c r="G1469" s="117"/>
      <c r="H1469" s="56">
        <f>ROUND(SUM(H1470:H1475),5)</f>
        <v>11339.36412</v>
      </c>
      <c r="I1469" s="115"/>
      <c r="J1469" s="110" t="e">
        <f>J1462</f>
        <v>#REF!</v>
      </c>
    </row>
    <row r="1470" spans="1:10" s="55" customFormat="1" ht="17.100000000000001" customHeight="1">
      <c r="A1470" s="295" t="e">
        <f t="shared" si="64"/>
        <v>#REF!</v>
      </c>
      <c r="B1470" s="51"/>
      <c r="C1470" s="51" t="s">
        <v>513</v>
      </c>
      <c r="D1470" s="52" t="s">
        <v>4</v>
      </c>
      <c r="E1470" s="112">
        <f>0.079</f>
        <v>7.9000000000000001E-2</v>
      </c>
      <c r="F1470" s="53">
        <f>'NC,M KS'!P31</f>
        <v>5833.1</v>
      </c>
      <c r="G1470" s="117">
        <f>hsm</f>
        <v>1</v>
      </c>
      <c r="H1470" s="54">
        <f>ROUND(E1470*F1470*G1470,5)</f>
        <v>460.81490000000002</v>
      </c>
      <c r="I1470" s="114"/>
      <c r="J1470" s="110" t="e">
        <f>J1462</f>
        <v>#REF!</v>
      </c>
    </row>
    <row r="1471" spans="1:10" s="55" customFormat="1" ht="17.100000000000001" customHeight="1">
      <c r="A1471" s="295" t="e">
        <f t="shared" si="64"/>
        <v>#REF!</v>
      </c>
      <c r="B1471" s="51"/>
      <c r="C1471" s="51" t="s">
        <v>514</v>
      </c>
      <c r="D1471" s="52" t="s">
        <v>4</v>
      </c>
      <c r="E1471" s="112">
        <f>0.056</f>
        <v>5.6000000000000001E-2</v>
      </c>
      <c r="F1471" s="53">
        <f>'NC,M KS'!P15</f>
        <v>6314.76</v>
      </c>
      <c r="G1471" s="117">
        <f>hsm</f>
        <v>1</v>
      </c>
      <c r="H1471" s="54">
        <f>ROUND(E1471*F1471*G1471,5)</f>
        <v>353.62655999999998</v>
      </c>
      <c r="I1471" s="114"/>
      <c r="J1471" s="110" t="e">
        <f>J1462</f>
        <v>#REF!</v>
      </c>
    </row>
    <row r="1472" spans="1:10" s="55" customFormat="1" ht="17.100000000000001" customHeight="1">
      <c r="A1472" s="295" t="e">
        <f t="shared" si="64"/>
        <v>#REF!</v>
      </c>
      <c r="B1472" s="51"/>
      <c r="C1472" s="51" t="s">
        <v>502</v>
      </c>
      <c r="D1472" s="52" t="s">
        <v>4</v>
      </c>
      <c r="E1472" s="112">
        <f>0.338</f>
        <v>0.33800000000000002</v>
      </c>
      <c r="F1472" s="53">
        <f>'NC,M KS'!P13</f>
        <v>10053.540000000001</v>
      </c>
      <c r="G1472" s="117">
        <f>hsm</f>
        <v>1</v>
      </c>
      <c r="H1472" s="54">
        <f>ROUND(E1472*F1472*G1472,5)</f>
        <v>3398.0965200000001</v>
      </c>
      <c r="I1472" s="114"/>
      <c r="J1472" s="110" t="e">
        <f>J1462</f>
        <v>#REF!</v>
      </c>
    </row>
    <row r="1473" spans="1:10" s="55" customFormat="1" ht="17.100000000000001" customHeight="1">
      <c r="A1473" s="295" t="e">
        <f t="shared" si="64"/>
        <v>#REF!</v>
      </c>
      <c r="B1473" s="51"/>
      <c r="C1473" s="51" t="s">
        <v>498</v>
      </c>
      <c r="D1473" s="52" t="s">
        <v>4</v>
      </c>
      <c r="E1473" s="112">
        <f>0.338</f>
        <v>0.33800000000000002</v>
      </c>
      <c r="F1473" s="53">
        <f>'NC,M KS'!P12</f>
        <v>10053.540000000001</v>
      </c>
      <c r="G1473" s="117">
        <f>hsm</f>
        <v>1</v>
      </c>
      <c r="H1473" s="54">
        <f>ROUND(E1473*F1473*G1473,5)</f>
        <v>3398.0965200000001</v>
      </c>
      <c r="I1473" s="114"/>
      <c r="J1473" s="110" t="e">
        <f>J1462</f>
        <v>#REF!</v>
      </c>
    </row>
    <row r="1474" spans="1:10" s="55" customFormat="1" ht="17.100000000000001" customHeight="1">
      <c r="A1474" s="295" t="e">
        <f t="shared" si="64"/>
        <v>#REF!</v>
      </c>
      <c r="B1474" s="51"/>
      <c r="C1474" s="51" t="s">
        <v>510</v>
      </c>
      <c r="D1474" s="52" t="s">
        <v>4</v>
      </c>
      <c r="E1474" s="112">
        <f>0.281</f>
        <v>0.28100000000000003</v>
      </c>
      <c r="F1474" s="53">
        <f>'NC,M KS'!P33</f>
        <v>11347.9</v>
      </c>
      <c r="G1474" s="117">
        <f>hsm</f>
        <v>1</v>
      </c>
      <c r="H1474" s="54">
        <f>ROUND(E1474*F1474*G1474,5)</f>
        <v>3188.7599</v>
      </c>
      <c r="I1474" s="114"/>
      <c r="J1474" s="110" t="e">
        <f>J1462</f>
        <v>#REF!</v>
      </c>
    </row>
    <row r="1475" spans="1:10" s="55" customFormat="1" ht="17.100000000000001" customHeight="1">
      <c r="A1475" s="295" t="e">
        <f t="shared" si="64"/>
        <v>#REF!</v>
      </c>
      <c r="B1475" s="51"/>
      <c r="C1475" s="51" t="s">
        <v>130</v>
      </c>
      <c r="D1475" s="52" t="s">
        <v>126</v>
      </c>
      <c r="E1475" s="112">
        <f>5</f>
        <v>5</v>
      </c>
      <c r="F1475" s="53"/>
      <c r="G1475" s="117"/>
      <c r="H1475" s="54">
        <f>ROUND(SUM(H1470:H1474)*E1475/100,5)</f>
        <v>539.96972000000005</v>
      </c>
      <c r="I1475" s="114"/>
      <c r="J1475" s="110" t="e">
        <f>J1462</f>
        <v>#REF!</v>
      </c>
    </row>
    <row r="1476" spans="1:10" s="55" customFormat="1" ht="17.100000000000001" customHeight="1">
      <c r="A1476" s="295" t="e">
        <f t="shared" si="64"/>
        <v>#REF!</v>
      </c>
      <c r="B1476" s="51"/>
      <c r="C1476" s="170" t="s">
        <v>556</v>
      </c>
      <c r="D1476" s="171" t="s">
        <v>136</v>
      </c>
      <c r="E1476" s="172" t="s">
        <v>205</v>
      </c>
      <c r="F1476" s="53"/>
      <c r="G1476" s="117"/>
      <c r="H1476" s="173" t="e">
        <f>ROUND(H1463+H1467+H1469,5)</f>
        <v>#REF!</v>
      </c>
      <c r="I1476" s="114"/>
      <c r="J1476" s="110" t="e">
        <f>J1462</f>
        <v>#REF!</v>
      </c>
    </row>
    <row r="1477" spans="1:10" s="55" customFormat="1" ht="17.100000000000001" customHeight="1">
      <c r="A1477" s="295" t="e">
        <f t="shared" si="64"/>
        <v>#REF!</v>
      </c>
      <c r="B1477" s="51"/>
      <c r="C1477" s="170" t="s">
        <v>557</v>
      </c>
      <c r="D1477" s="171" t="s">
        <v>204</v>
      </c>
      <c r="E1477" s="172" t="s">
        <v>558</v>
      </c>
      <c r="F1477" s="53"/>
      <c r="G1477" s="117"/>
      <c r="H1477" s="173" t="e">
        <f>SUM(H1478:H1479)</f>
        <v>#REF!</v>
      </c>
      <c r="I1477" s="114"/>
      <c r="J1477" s="110" t="e">
        <f>J1462</f>
        <v>#REF!</v>
      </c>
    </row>
    <row r="1478" spans="1:10" s="55" customFormat="1" ht="17.100000000000001" customHeight="1">
      <c r="A1478" s="295" t="e">
        <f t="shared" si="64"/>
        <v>#REF!</v>
      </c>
      <c r="B1478" s="51"/>
      <c r="C1478" s="51" t="s">
        <v>426</v>
      </c>
      <c r="D1478" s="52" t="s">
        <v>559</v>
      </c>
      <c r="E1478" s="116">
        <f>cpc</f>
        <v>0.7</v>
      </c>
      <c r="F1478" s="174"/>
      <c r="G1478" s="175"/>
      <c r="H1478" s="54" t="e">
        <f>E1478*H1467</f>
        <v>#REF!</v>
      </c>
      <c r="I1478" s="114"/>
      <c r="J1478" s="110" t="e">
        <f>J1462</f>
        <v>#REF!</v>
      </c>
    </row>
    <row r="1479" spans="1:10" s="55" customFormat="1" ht="30">
      <c r="A1479" s="295" t="e">
        <f t="shared" si="64"/>
        <v>#REF!</v>
      </c>
      <c r="B1479" s="51"/>
      <c r="C1479" s="78" t="s">
        <v>560</v>
      </c>
      <c r="D1479" s="79" t="s">
        <v>561</v>
      </c>
      <c r="E1479" s="176">
        <f>hmc</f>
        <v>0.05</v>
      </c>
      <c r="F1479" s="53"/>
      <c r="G1479" s="113"/>
      <c r="H1479" s="54" t="e">
        <f>E1479*H1476</f>
        <v>#REF!</v>
      </c>
      <c r="I1479" s="114"/>
      <c r="J1479" s="110" t="e">
        <f>J1462</f>
        <v>#REF!</v>
      </c>
    </row>
    <row r="1480" spans="1:10" s="55" customFormat="1" ht="17.100000000000001" customHeight="1">
      <c r="A1480" s="295" t="e">
        <f t="shared" si="64"/>
        <v>#REF!</v>
      </c>
      <c r="B1480" s="51"/>
      <c r="C1480" s="170" t="s">
        <v>562</v>
      </c>
      <c r="D1480" s="171" t="s">
        <v>563</v>
      </c>
      <c r="E1480" s="179">
        <f>tn</f>
        <v>0.06</v>
      </c>
      <c r="F1480" s="177"/>
      <c r="G1480" s="178"/>
      <c r="H1480" s="181" t="e">
        <f>SUM(H1476:H1477)*E1480</f>
        <v>#REF!</v>
      </c>
      <c r="I1480" s="114"/>
      <c r="J1480" s="110" t="e">
        <f>J1462</f>
        <v>#REF!</v>
      </c>
    </row>
    <row r="1481" spans="1:10" s="55" customFormat="1" ht="17.100000000000001" customHeight="1">
      <c r="A1481" s="295" t="e">
        <f t="shared" si="64"/>
        <v>#REF!</v>
      </c>
      <c r="B1481" s="51"/>
      <c r="C1481" s="92" t="s">
        <v>1879</v>
      </c>
      <c r="D1481" s="171" t="s">
        <v>227</v>
      </c>
      <c r="E1481" s="180" t="s">
        <v>564</v>
      </c>
      <c r="F1481" s="174"/>
      <c r="G1481" s="175"/>
      <c r="H1481" s="173" t="e">
        <f>SUM(H1482:H1483)</f>
        <v>#REF!</v>
      </c>
      <c r="I1481" s="114"/>
      <c r="J1481" s="110" t="e">
        <f>J1462</f>
        <v>#REF!</v>
      </c>
    </row>
    <row r="1482" spans="1:10" s="55" customFormat="1" ht="17.100000000000001" customHeight="1">
      <c r="A1482" s="295" t="e">
        <f t="shared" si="64"/>
        <v>#REF!</v>
      </c>
      <c r="B1482" s="51"/>
      <c r="C1482" s="51" t="s">
        <v>427</v>
      </c>
      <c r="D1482" s="52" t="s">
        <v>428</v>
      </c>
      <c r="E1482" s="1093">
        <f>paks</f>
        <v>0</v>
      </c>
      <c r="F1482" s="174"/>
      <c r="G1482" s="175"/>
      <c r="H1482" s="54" t="e">
        <f>(H1476+H1477+H1480)*E1482</f>
        <v>#REF!</v>
      </c>
      <c r="I1482" s="114"/>
      <c r="J1482" s="110" t="e">
        <f>J1462</f>
        <v>#REF!</v>
      </c>
    </row>
    <row r="1483" spans="1:10" s="55" customFormat="1" ht="17.100000000000001" customHeight="1">
      <c r="A1483" s="295" t="e">
        <f t="shared" si="64"/>
        <v>#REF!</v>
      </c>
      <c r="B1483" s="51"/>
      <c r="C1483" s="51" t="s">
        <v>429</v>
      </c>
      <c r="D1483" s="52" t="s">
        <v>430</v>
      </c>
      <c r="E1483" s="1093">
        <f>bcks</f>
        <v>0.03</v>
      </c>
      <c r="F1483" s="53"/>
      <c r="G1483" s="113"/>
      <c r="H1483" s="54" t="e">
        <f>(H1476+H1477+H1480)*E1483</f>
        <v>#REF!</v>
      </c>
      <c r="I1483" s="114"/>
      <c r="J1483" s="715" t="e">
        <f>J1462</f>
        <v>#REF!</v>
      </c>
    </row>
    <row r="1484" spans="1:10" s="55" customFormat="1" ht="17.100000000000001" customHeight="1">
      <c r="A1484" s="295" t="e">
        <f t="shared" si="64"/>
        <v>#REF!</v>
      </c>
      <c r="B1484" s="51"/>
      <c r="C1484" s="170" t="s">
        <v>565</v>
      </c>
      <c r="D1484" s="171" t="s">
        <v>218</v>
      </c>
      <c r="E1484" s="172" t="s">
        <v>566</v>
      </c>
      <c r="F1484" s="53"/>
      <c r="G1484" s="113"/>
      <c r="H1484" s="173" t="e">
        <f>H1476+H1477+H1480+H1481</f>
        <v>#REF!</v>
      </c>
      <c r="I1484" s="114"/>
      <c r="J1484" s="715" t="e">
        <f>J1462</f>
        <v>#REF!</v>
      </c>
    </row>
    <row r="1485" spans="1:10" s="55" customFormat="1" ht="17.100000000000001" customHeight="1">
      <c r="A1485" s="295" t="e">
        <f t="shared" si="64"/>
        <v>#REF!</v>
      </c>
      <c r="B1485" s="51"/>
      <c r="C1485" s="51" t="s">
        <v>567</v>
      </c>
      <c r="D1485" s="52" t="s">
        <v>222</v>
      </c>
      <c r="E1485" s="112" t="s">
        <v>1917</v>
      </c>
      <c r="F1485" s="174"/>
      <c r="G1485" s="175"/>
      <c r="H1485" s="54" t="e">
        <f>ROUND(H1484*10/100,5)</f>
        <v>#REF!</v>
      </c>
      <c r="I1485" s="114"/>
      <c r="J1485" s="715" t="e">
        <f>J1462</f>
        <v>#REF!</v>
      </c>
    </row>
    <row r="1486" spans="1:10" s="55" customFormat="1" ht="17.100000000000001" customHeight="1">
      <c r="A1486" s="295" t="e">
        <f t="shared" si="64"/>
        <v>#REF!</v>
      </c>
      <c r="B1486" s="51"/>
      <c r="C1486" s="170" t="s">
        <v>568</v>
      </c>
      <c r="D1486" s="171" t="s">
        <v>225</v>
      </c>
      <c r="E1486" s="172" t="s">
        <v>192</v>
      </c>
      <c r="F1486" s="53"/>
      <c r="G1486" s="113"/>
      <c r="H1486" s="173" t="e">
        <f>ROUND(H1484+H1485,5)</f>
        <v>#REF!</v>
      </c>
      <c r="I1486" s="114"/>
      <c r="J1486" s="715" t="e">
        <f>J1462</f>
        <v>#REF!</v>
      </c>
    </row>
    <row r="1487" spans="1:10" s="283" customFormat="1" ht="17.100000000000001" hidden="1" customHeight="1">
      <c r="A1487" s="264" t="e">
        <f t="shared" si="64"/>
        <v>#REF!</v>
      </c>
      <c r="B1487" s="276" t="s">
        <v>409</v>
      </c>
      <c r="C1487" s="276" t="s">
        <v>410</v>
      </c>
      <c r="D1487" s="277" t="s">
        <v>332</v>
      </c>
      <c r="E1487" s="278"/>
      <c r="F1487" s="279"/>
      <c r="G1487" s="280"/>
      <c r="H1487" s="281" t="e">
        <f>H1523</f>
        <v>#REF!</v>
      </c>
      <c r="I1487" s="282"/>
      <c r="J1487" s="273">
        <f>IF(SUMIF(Khaosat!$B$6:$B$47,'PT giaKS'!B1487,Khaosat!$I$6:$I$47)&lt;&gt;0,$J$6,0)</f>
        <v>0</v>
      </c>
    </row>
    <row r="1488" spans="1:10" s="124" customFormat="1" ht="17.100000000000001" hidden="1" customHeight="1">
      <c r="A1488" s="50" t="e">
        <f t="shared" si="64"/>
        <v>#REF!</v>
      </c>
      <c r="B1488" s="118"/>
      <c r="C1488" s="118" t="s">
        <v>128</v>
      </c>
      <c r="D1488" s="119" t="s">
        <v>0</v>
      </c>
      <c r="E1488" s="120"/>
      <c r="F1488" s="121"/>
      <c r="G1488" s="168"/>
      <c r="H1488" s="125">
        <f>ROUND(SUM(H1489:H1499),5)</f>
        <v>54791.362500000003</v>
      </c>
      <c r="I1488" s="126"/>
      <c r="J1488" s="110">
        <f>J1487</f>
        <v>0</v>
      </c>
    </row>
    <row r="1489" spans="1:10" s="124" customFormat="1" ht="17.100000000000001" hidden="1" customHeight="1">
      <c r="A1489" s="50" t="e">
        <f t="shared" si="64"/>
        <v>#REF!</v>
      </c>
      <c r="B1489" s="118"/>
      <c r="C1489" s="118" t="s">
        <v>516</v>
      </c>
      <c r="D1489" s="119" t="s">
        <v>451</v>
      </c>
      <c r="E1489" s="120">
        <f>0.001</f>
        <v>1E-3</v>
      </c>
      <c r="F1489" s="121">
        <f>VLKS!Q28</f>
        <v>200000</v>
      </c>
      <c r="G1489" s="168">
        <f t="shared" ref="G1489:G1498" si="65">hsvl</f>
        <v>1</v>
      </c>
      <c r="H1489" s="122">
        <f t="shared" ref="H1489:H1498" si="66">ROUND(E1489*F1489*G1489,5)</f>
        <v>200</v>
      </c>
      <c r="I1489" s="123"/>
      <c r="J1489" s="110">
        <f>J1487</f>
        <v>0</v>
      </c>
    </row>
    <row r="1490" spans="1:10" s="124" customFormat="1" ht="17.100000000000001" hidden="1" customHeight="1">
      <c r="A1490" s="50" t="e">
        <f t="shared" si="64"/>
        <v>#REF!</v>
      </c>
      <c r="B1490" s="118"/>
      <c r="C1490" s="118" t="s">
        <v>517</v>
      </c>
      <c r="D1490" s="119" t="s">
        <v>82</v>
      </c>
      <c r="E1490" s="120">
        <f>0.005</f>
        <v>5.0000000000000001E-3</v>
      </c>
      <c r="F1490" s="121">
        <f>VLKS!Q55</f>
        <v>45000</v>
      </c>
      <c r="G1490" s="168">
        <f t="shared" si="65"/>
        <v>1</v>
      </c>
      <c r="H1490" s="122">
        <f t="shared" si="66"/>
        <v>225</v>
      </c>
      <c r="I1490" s="123"/>
      <c r="J1490" s="110">
        <f>J1487</f>
        <v>0</v>
      </c>
    </row>
    <row r="1491" spans="1:10" s="124" customFormat="1" ht="17.100000000000001" hidden="1" customHeight="1">
      <c r="A1491" s="50" t="e">
        <f t="shared" si="64"/>
        <v>#REF!</v>
      </c>
      <c r="B1491" s="118"/>
      <c r="C1491" s="118" t="s">
        <v>496</v>
      </c>
      <c r="D1491" s="119" t="s">
        <v>82</v>
      </c>
      <c r="E1491" s="120">
        <f>0.08</f>
        <v>0.08</v>
      </c>
      <c r="F1491" s="121">
        <f>VLKS!Q40</f>
        <v>60000</v>
      </c>
      <c r="G1491" s="168">
        <f t="shared" si="65"/>
        <v>1</v>
      </c>
      <c r="H1491" s="122">
        <f t="shared" si="66"/>
        <v>4800</v>
      </c>
      <c r="I1491" s="123"/>
      <c r="J1491" s="110">
        <f>J1487</f>
        <v>0</v>
      </c>
    </row>
    <row r="1492" spans="1:10" s="124" customFormat="1" ht="17.100000000000001" hidden="1" customHeight="1">
      <c r="A1492" s="50" t="e">
        <f t="shared" si="64"/>
        <v>#REF!</v>
      </c>
      <c r="B1492" s="118"/>
      <c r="C1492" s="118" t="s">
        <v>506</v>
      </c>
      <c r="D1492" s="119" t="s">
        <v>82</v>
      </c>
      <c r="E1492" s="120">
        <f>0.02</f>
        <v>0.02</v>
      </c>
      <c r="F1492" s="121">
        <f>VLKS!Q16</f>
        <v>25000</v>
      </c>
      <c r="G1492" s="168">
        <f t="shared" si="65"/>
        <v>1</v>
      </c>
      <c r="H1492" s="122">
        <f t="shared" si="66"/>
        <v>500</v>
      </c>
      <c r="I1492" s="123"/>
      <c r="J1492" s="110">
        <f>J1487</f>
        <v>0</v>
      </c>
    </row>
    <row r="1493" spans="1:10" s="124" customFormat="1" ht="17.100000000000001" hidden="1" customHeight="1">
      <c r="A1493" s="50" t="e">
        <f t="shared" si="64"/>
        <v>#REF!</v>
      </c>
      <c r="B1493" s="118"/>
      <c r="C1493" s="118" t="s">
        <v>518</v>
      </c>
      <c r="D1493" s="119" t="s">
        <v>82</v>
      </c>
      <c r="E1493" s="120">
        <f>0.03</f>
        <v>0.03</v>
      </c>
      <c r="F1493" s="121">
        <f>VLKS!Q14</f>
        <v>15000</v>
      </c>
      <c r="G1493" s="168">
        <f t="shared" si="65"/>
        <v>1</v>
      </c>
      <c r="H1493" s="122">
        <f t="shared" si="66"/>
        <v>450</v>
      </c>
      <c r="I1493" s="123"/>
      <c r="J1493" s="110">
        <f>J1487</f>
        <v>0</v>
      </c>
    </row>
    <row r="1494" spans="1:10" s="124" customFormat="1" ht="17.100000000000001" hidden="1" customHeight="1">
      <c r="A1494" s="50" t="e">
        <f t="shared" si="64"/>
        <v>#REF!</v>
      </c>
      <c r="B1494" s="118"/>
      <c r="C1494" s="118" t="s">
        <v>519</v>
      </c>
      <c r="D1494" s="119" t="s">
        <v>82</v>
      </c>
      <c r="E1494" s="120">
        <f>0.04</f>
        <v>0.04</v>
      </c>
      <c r="F1494" s="121">
        <f>VLKS!Q15</f>
        <v>28000</v>
      </c>
      <c r="G1494" s="168">
        <f t="shared" si="65"/>
        <v>1</v>
      </c>
      <c r="H1494" s="122">
        <f t="shared" si="66"/>
        <v>1120</v>
      </c>
      <c r="I1494" s="123"/>
      <c r="J1494" s="110">
        <f>J1487</f>
        <v>0</v>
      </c>
    </row>
    <row r="1495" spans="1:10" s="124" customFormat="1" ht="17.100000000000001" hidden="1" customHeight="1">
      <c r="A1495" s="50" t="e">
        <f t="shared" si="64"/>
        <v>#REF!</v>
      </c>
      <c r="B1495" s="118"/>
      <c r="C1495" s="118" t="s">
        <v>505</v>
      </c>
      <c r="D1495" s="119" t="s">
        <v>82</v>
      </c>
      <c r="E1495" s="120">
        <f>0.01</f>
        <v>0.01</v>
      </c>
      <c r="F1495" s="121">
        <f>VLKS!Q13</f>
        <v>250000</v>
      </c>
      <c r="G1495" s="168">
        <f t="shared" si="65"/>
        <v>1</v>
      </c>
      <c r="H1495" s="122">
        <f t="shared" si="66"/>
        <v>2500</v>
      </c>
      <c r="I1495" s="123"/>
      <c r="J1495" s="110">
        <f>J1487</f>
        <v>0</v>
      </c>
    </row>
    <row r="1496" spans="1:10" s="124" customFormat="1" ht="17.100000000000001" hidden="1" customHeight="1">
      <c r="A1496" s="50" t="e">
        <f t="shared" si="64"/>
        <v>#REF!</v>
      </c>
      <c r="B1496" s="118"/>
      <c r="C1496" s="118" t="s">
        <v>520</v>
      </c>
      <c r="D1496" s="119" t="s">
        <v>82</v>
      </c>
      <c r="E1496" s="120">
        <f>0.04</f>
        <v>0.04</v>
      </c>
      <c r="F1496" s="121">
        <f>VLKS!Q17</f>
        <v>3000</v>
      </c>
      <c r="G1496" s="168">
        <f t="shared" si="65"/>
        <v>1</v>
      </c>
      <c r="H1496" s="122">
        <f t="shared" si="66"/>
        <v>120</v>
      </c>
      <c r="I1496" s="123"/>
      <c r="J1496" s="110">
        <f>J1487</f>
        <v>0</v>
      </c>
    </row>
    <row r="1497" spans="1:10" s="124" customFormat="1" ht="17.100000000000001" hidden="1" customHeight="1">
      <c r="A1497" s="50" t="e">
        <f t="shared" si="64"/>
        <v>#REF!</v>
      </c>
      <c r="B1497" s="118"/>
      <c r="C1497" s="118" t="s">
        <v>521</v>
      </c>
      <c r="D1497" s="119" t="s">
        <v>451</v>
      </c>
      <c r="E1497" s="120">
        <f>0.0013</f>
        <v>1.2999999999999999E-3</v>
      </c>
      <c r="F1497" s="121">
        <f>VLKS!Q48</f>
        <v>1600000</v>
      </c>
      <c r="G1497" s="168">
        <f t="shared" si="65"/>
        <v>1</v>
      </c>
      <c r="H1497" s="122">
        <f t="shared" si="66"/>
        <v>2080</v>
      </c>
      <c r="I1497" s="123"/>
      <c r="J1497" s="110">
        <f>J1487</f>
        <v>0</v>
      </c>
    </row>
    <row r="1498" spans="1:10" s="124" customFormat="1" ht="17.100000000000001" hidden="1" customHeight="1">
      <c r="A1498" s="50" t="e">
        <f t="shared" si="64"/>
        <v>#REF!</v>
      </c>
      <c r="B1498" s="118"/>
      <c r="C1498" s="118" t="s">
        <v>494</v>
      </c>
      <c r="D1498" s="119" t="s">
        <v>495</v>
      </c>
      <c r="E1498" s="120">
        <f>23.85</f>
        <v>23.85</v>
      </c>
      <c r="F1498" s="121">
        <f>VLKS!Q58</f>
        <v>1685</v>
      </c>
      <c r="G1498" s="168">
        <f t="shared" si="65"/>
        <v>1</v>
      </c>
      <c r="H1498" s="122">
        <f t="shared" si="66"/>
        <v>40187.25</v>
      </c>
      <c r="I1498" s="123"/>
      <c r="J1498" s="110">
        <f>J1487</f>
        <v>0</v>
      </c>
    </row>
    <row r="1499" spans="1:10" s="124" customFormat="1" ht="17.100000000000001" hidden="1" customHeight="1">
      <c r="A1499" s="50" t="e">
        <f t="shared" si="64"/>
        <v>#REF!</v>
      </c>
      <c r="B1499" s="118"/>
      <c r="C1499" s="118" t="s">
        <v>127</v>
      </c>
      <c r="D1499" s="119" t="s">
        <v>126</v>
      </c>
      <c r="E1499" s="120">
        <f>5</f>
        <v>5</v>
      </c>
      <c r="F1499" s="121"/>
      <c r="G1499" s="168"/>
      <c r="H1499" s="122">
        <f>ROUND(SUM(H1489:H1498)*E1499/100,5)</f>
        <v>2609.1125000000002</v>
      </c>
      <c r="I1499" s="123"/>
      <c r="J1499" s="110">
        <f>J1487</f>
        <v>0</v>
      </c>
    </row>
    <row r="1500" spans="1:10" s="124" customFormat="1" ht="17.100000000000001" hidden="1" customHeight="1">
      <c r="A1500" s="50" t="e">
        <f t="shared" si="64"/>
        <v>#REF!</v>
      </c>
      <c r="B1500" s="118"/>
      <c r="C1500" s="118" t="s">
        <v>125</v>
      </c>
      <c r="D1500" s="119" t="s">
        <v>0</v>
      </c>
      <c r="E1500" s="120"/>
      <c r="F1500" s="121"/>
      <c r="G1500" s="168"/>
      <c r="H1500" s="125" t="e">
        <f>ROUND(SUM(H1501:H1501),5)</f>
        <v>#REF!</v>
      </c>
      <c r="I1500" s="126"/>
      <c r="J1500" s="110">
        <f>J1487</f>
        <v>0</v>
      </c>
    </row>
    <row r="1501" spans="1:10" s="124" customFormat="1" ht="17.100000000000001" hidden="1" customHeight="1">
      <c r="A1501" s="50" t="e">
        <f t="shared" si="64"/>
        <v>#REF!</v>
      </c>
      <c r="B1501" s="118"/>
      <c r="C1501" s="118" t="s">
        <v>424</v>
      </c>
      <c r="D1501" s="119" t="s">
        <v>3</v>
      </c>
      <c r="E1501" s="120">
        <f>6.7</f>
        <v>6.7</v>
      </c>
      <c r="F1501" s="121" t="e">
        <f>'NC,M KS'!P6</f>
        <v>#REF!</v>
      </c>
      <c r="G1501" s="168">
        <f>hsnc</f>
        <v>1</v>
      </c>
      <c r="H1501" s="122" t="e">
        <f>ROUND(E1501*F1501*G1501,5)</f>
        <v>#REF!</v>
      </c>
      <c r="I1501" s="123"/>
      <c r="J1501" s="110">
        <f>J1487</f>
        <v>0</v>
      </c>
    </row>
    <row r="1502" spans="1:10" s="124" customFormat="1" ht="17.100000000000001" hidden="1" customHeight="1">
      <c r="A1502" s="50" t="e">
        <f t="shared" si="64"/>
        <v>#REF!</v>
      </c>
      <c r="B1502" s="118"/>
      <c r="C1502" s="118" t="s">
        <v>124</v>
      </c>
      <c r="D1502" s="119" t="s">
        <v>0</v>
      </c>
      <c r="E1502" s="120"/>
      <c r="F1502" s="121"/>
      <c r="G1502" s="168"/>
      <c r="H1502" s="125">
        <f>ROUND(SUM(H1503:H1512),5)</f>
        <v>379343.29300000001</v>
      </c>
      <c r="I1502" s="126"/>
      <c r="J1502" s="110">
        <f>J1487</f>
        <v>0</v>
      </c>
    </row>
    <row r="1503" spans="1:10" s="124" customFormat="1" ht="17.100000000000001" hidden="1" customHeight="1">
      <c r="A1503" s="50" t="e">
        <f t="shared" si="64"/>
        <v>#REF!</v>
      </c>
      <c r="B1503" s="118"/>
      <c r="C1503" s="118" t="s">
        <v>522</v>
      </c>
      <c r="D1503" s="119" t="s">
        <v>4</v>
      </c>
      <c r="E1503" s="120">
        <f>0.8</f>
        <v>0.8</v>
      </c>
      <c r="F1503" s="121">
        <f>'NC,M KS'!P20</f>
        <v>229400</v>
      </c>
      <c r="G1503" s="168">
        <f t="shared" ref="G1503:G1512" si="67">hsm</f>
        <v>1</v>
      </c>
      <c r="H1503" s="122">
        <f t="shared" ref="H1503:H1512" si="68">ROUND(E1503*F1503*G1503,5)</f>
        <v>183520</v>
      </c>
      <c r="I1503" s="123"/>
      <c r="J1503" s="110">
        <f>J1487</f>
        <v>0</v>
      </c>
    </row>
    <row r="1504" spans="1:10" s="124" customFormat="1" ht="17.100000000000001" hidden="1" customHeight="1">
      <c r="A1504" s="50" t="e">
        <f t="shared" si="64"/>
        <v>#REF!</v>
      </c>
      <c r="B1504" s="118"/>
      <c r="C1504" s="118" t="s">
        <v>523</v>
      </c>
      <c r="D1504" s="119" t="s">
        <v>4</v>
      </c>
      <c r="E1504" s="120">
        <f>0.6</f>
        <v>0.6</v>
      </c>
      <c r="F1504" s="121">
        <f>'NC,M KS'!P22</f>
        <v>55333.574999999997</v>
      </c>
      <c r="G1504" s="168">
        <f t="shared" si="67"/>
        <v>1</v>
      </c>
      <c r="H1504" s="122">
        <f t="shared" si="68"/>
        <v>33200.144999999997</v>
      </c>
      <c r="I1504" s="123"/>
      <c r="J1504" s="110">
        <f>J1487</f>
        <v>0</v>
      </c>
    </row>
    <row r="1505" spans="1:10" s="124" customFormat="1" ht="17.100000000000001" hidden="1" customHeight="1">
      <c r="A1505" s="50" t="e">
        <f t="shared" si="64"/>
        <v>#REF!</v>
      </c>
      <c r="B1505" s="118"/>
      <c r="C1505" s="118" t="s">
        <v>524</v>
      </c>
      <c r="D1505" s="119" t="s">
        <v>4</v>
      </c>
      <c r="E1505" s="120">
        <f>0.8</f>
        <v>0.8</v>
      </c>
      <c r="F1505" s="121">
        <f>'NC,M KS'!P32</f>
        <v>126867.56</v>
      </c>
      <c r="G1505" s="168">
        <f t="shared" si="67"/>
        <v>1</v>
      </c>
      <c r="H1505" s="122">
        <f t="shared" si="68"/>
        <v>101494.048</v>
      </c>
      <c r="I1505" s="123"/>
      <c r="J1505" s="110">
        <f>J1487</f>
        <v>0</v>
      </c>
    </row>
    <row r="1506" spans="1:10" s="124" customFormat="1" ht="17.100000000000001" hidden="1" customHeight="1">
      <c r="A1506" s="50" t="e">
        <f t="shared" si="64"/>
        <v>#REF!</v>
      </c>
      <c r="B1506" s="118"/>
      <c r="C1506" s="118" t="s">
        <v>525</v>
      </c>
      <c r="D1506" s="119" t="s">
        <v>4</v>
      </c>
      <c r="E1506" s="120">
        <f>0.8</f>
        <v>0.8</v>
      </c>
      <c r="F1506" s="121">
        <f>'NC,M KS'!P29</f>
        <v>25040</v>
      </c>
      <c r="G1506" s="168">
        <f t="shared" si="67"/>
        <v>1</v>
      </c>
      <c r="H1506" s="122">
        <f t="shared" si="68"/>
        <v>20032</v>
      </c>
      <c r="I1506" s="123"/>
      <c r="J1506" s="110">
        <f>J1487</f>
        <v>0</v>
      </c>
    </row>
    <row r="1507" spans="1:10" s="124" customFormat="1" ht="17.100000000000001" hidden="1" customHeight="1">
      <c r="A1507" s="50" t="e">
        <f t="shared" si="64"/>
        <v>#REF!</v>
      </c>
      <c r="B1507" s="118"/>
      <c r="C1507" s="118" t="s">
        <v>502</v>
      </c>
      <c r="D1507" s="119" t="s">
        <v>4</v>
      </c>
      <c r="E1507" s="120">
        <f>1</f>
        <v>1</v>
      </c>
      <c r="F1507" s="121">
        <f>'NC,M KS'!P13</f>
        <v>10053.540000000001</v>
      </c>
      <c r="G1507" s="168">
        <f t="shared" si="67"/>
        <v>1</v>
      </c>
      <c r="H1507" s="122">
        <f t="shared" si="68"/>
        <v>10053.540000000001</v>
      </c>
      <c r="I1507" s="123"/>
      <c r="J1507" s="110">
        <f>J1487</f>
        <v>0</v>
      </c>
    </row>
    <row r="1508" spans="1:10" s="124" customFormat="1" ht="17.100000000000001" hidden="1" customHeight="1">
      <c r="A1508" s="50" t="e">
        <f t="shared" si="64"/>
        <v>#REF!</v>
      </c>
      <c r="B1508" s="118"/>
      <c r="C1508" s="118" t="s">
        <v>510</v>
      </c>
      <c r="D1508" s="119" t="s">
        <v>4</v>
      </c>
      <c r="E1508" s="120">
        <f>0.8</f>
        <v>0.8</v>
      </c>
      <c r="F1508" s="121">
        <f>'NC,M KS'!P33</f>
        <v>11347.9</v>
      </c>
      <c r="G1508" s="168">
        <f t="shared" si="67"/>
        <v>1</v>
      </c>
      <c r="H1508" s="122">
        <f t="shared" si="68"/>
        <v>9078.32</v>
      </c>
      <c r="I1508" s="123"/>
      <c r="J1508" s="715">
        <f>J1487</f>
        <v>0</v>
      </c>
    </row>
    <row r="1509" spans="1:10" s="124" customFormat="1" ht="17.100000000000001" hidden="1" customHeight="1">
      <c r="A1509" s="50" t="e">
        <f t="shared" si="64"/>
        <v>#REF!</v>
      </c>
      <c r="B1509" s="118"/>
      <c r="C1509" s="118" t="s">
        <v>526</v>
      </c>
      <c r="D1509" s="119" t="s">
        <v>4</v>
      </c>
      <c r="E1509" s="120">
        <f>0.5</f>
        <v>0.5</v>
      </c>
      <c r="F1509" s="121">
        <f>'NC,M KS'!P11</f>
        <v>2786.4</v>
      </c>
      <c r="G1509" s="168">
        <f t="shared" si="67"/>
        <v>1</v>
      </c>
      <c r="H1509" s="122">
        <f t="shared" si="68"/>
        <v>1393.2</v>
      </c>
      <c r="I1509" s="123"/>
      <c r="J1509" s="715">
        <f>J1487</f>
        <v>0</v>
      </c>
    </row>
    <row r="1510" spans="1:10" s="124" customFormat="1" ht="17.100000000000001" hidden="1" customHeight="1">
      <c r="A1510" s="50" t="e">
        <f t="shared" si="64"/>
        <v>#REF!</v>
      </c>
      <c r="B1510" s="118"/>
      <c r="C1510" s="118" t="s">
        <v>511</v>
      </c>
      <c r="D1510" s="119" t="s">
        <v>4</v>
      </c>
      <c r="E1510" s="120">
        <f>0.3</f>
        <v>0.3</v>
      </c>
      <c r="F1510" s="121">
        <f>'NC,M KS'!P21</f>
        <v>3499.3</v>
      </c>
      <c r="G1510" s="168">
        <f t="shared" si="67"/>
        <v>1</v>
      </c>
      <c r="H1510" s="122">
        <f t="shared" si="68"/>
        <v>1049.79</v>
      </c>
      <c r="I1510" s="123"/>
      <c r="J1510" s="715">
        <f>J1487</f>
        <v>0</v>
      </c>
    </row>
    <row r="1511" spans="1:10" s="124" customFormat="1" ht="17.100000000000001" hidden="1" customHeight="1">
      <c r="A1511" s="50" t="e">
        <f t="shared" si="64"/>
        <v>#REF!</v>
      </c>
      <c r="B1511" s="118"/>
      <c r="C1511" s="118" t="s">
        <v>503</v>
      </c>
      <c r="D1511" s="119" t="s">
        <v>4</v>
      </c>
      <c r="E1511" s="120">
        <f>0.4</f>
        <v>0.4</v>
      </c>
      <c r="F1511" s="121">
        <f>'NC,M KS'!P19</f>
        <v>6621.125</v>
      </c>
      <c r="G1511" s="168">
        <f t="shared" si="67"/>
        <v>1</v>
      </c>
      <c r="H1511" s="122">
        <f t="shared" si="68"/>
        <v>2648.45</v>
      </c>
      <c r="I1511" s="123"/>
      <c r="J1511" s="715">
        <f>J1487</f>
        <v>0</v>
      </c>
    </row>
    <row r="1512" spans="1:10" s="124" customFormat="1" ht="17.100000000000001" hidden="1" customHeight="1">
      <c r="A1512" s="50" t="e">
        <f t="shared" si="64"/>
        <v>#REF!</v>
      </c>
      <c r="B1512" s="118"/>
      <c r="C1512" s="118" t="s">
        <v>527</v>
      </c>
      <c r="D1512" s="119" t="s">
        <v>4</v>
      </c>
      <c r="E1512" s="120">
        <f>0.3</f>
        <v>0.3</v>
      </c>
      <c r="F1512" s="121">
        <f>'NC,M KS'!P17</f>
        <v>56246</v>
      </c>
      <c r="G1512" s="168">
        <f t="shared" si="67"/>
        <v>1</v>
      </c>
      <c r="H1512" s="122">
        <f t="shared" si="68"/>
        <v>16873.8</v>
      </c>
      <c r="I1512" s="123"/>
      <c r="J1512" s="715">
        <f>J1487</f>
        <v>0</v>
      </c>
    </row>
    <row r="1513" spans="1:10" s="124" customFormat="1" ht="17.100000000000001" hidden="1" customHeight="1">
      <c r="A1513" s="50" t="e">
        <f t="shared" si="64"/>
        <v>#REF!</v>
      </c>
      <c r="B1513" s="118"/>
      <c r="C1513" s="170" t="s">
        <v>556</v>
      </c>
      <c r="D1513" s="171" t="s">
        <v>136</v>
      </c>
      <c r="E1513" s="172" t="s">
        <v>205</v>
      </c>
      <c r="F1513" s="121"/>
      <c r="G1513" s="168"/>
      <c r="H1513" s="182" t="e">
        <f>ROUND(H1488+H1500+H1502,5)</f>
        <v>#REF!</v>
      </c>
      <c r="I1513" s="123"/>
      <c r="J1513" s="715">
        <f>J1487</f>
        <v>0</v>
      </c>
    </row>
    <row r="1514" spans="1:10" s="124" customFormat="1" ht="17.100000000000001" hidden="1" customHeight="1">
      <c r="A1514" s="50" t="e">
        <f t="shared" si="64"/>
        <v>#REF!</v>
      </c>
      <c r="B1514" s="118"/>
      <c r="C1514" s="170" t="s">
        <v>557</v>
      </c>
      <c r="D1514" s="171" t="s">
        <v>204</v>
      </c>
      <c r="E1514" s="172" t="s">
        <v>558</v>
      </c>
      <c r="F1514" s="53"/>
      <c r="G1514" s="117"/>
      <c r="H1514" s="173" t="e">
        <f>SUM(H1515:H1516)</f>
        <v>#REF!</v>
      </c>
      <c r="I1514" s="123"/>
      <c r="J1514" s="715">
        <f>J1487</f>
        <v>0</v>
      </c>
    </row>
    <row r="1515" spans="1:10" s="124" customFormat="1" ht="17.100000000000001" hidden="1" customHeight="1">
      <c r="A1515" s="50" t="e">
        <f t="shared" si="64"/>
        <v>#REF!</v>
      </c>
      <c r="B1515" s="118"/>
      <c r="C1515" s="51" t="s">
        <v>426</v>
      </c>
      <c r="D1515" s="52" t="s">
        <v>559</v>
      </c>
      <c r="E1515" s="116">
        <f>cpc</f>
        <v>0.7</v>
      </c>
      <c r="F1515" s="174"/>
      <c r="G1515" s="175"/>
      <c r="H1515" s="54" t="e">
        <f>E1515*H1500</f>
        <v>#REF!</v>
      </c>
      <c r="I1515" s="123"/>
      <c r="J1515" s="715">
        <f>J1487</f>
        <v>0</v>
      </c>
    </row>
    <row r="1516" spans="1:10" s="124" customFormat="1" ht="17.100000000000001" hidden="1" customHeight="1">
      <c r="A1516" s="50" t="e">
        <f t="shared" si="64"/>
        <v>#REF!</v>
      </c>
      <c r="B1516" s="118"/>
      <c r="C1516" s="78" t="s">
        <v>560</v>
      </c>
      <c r="D1516" s="79" t="s">
        <v>561</v>
      </c>
      <c r="E1516" s="176">
        <f>hmc</f>
        <v>0.05</v>
      </c>
      <c r="F1516" s="53"/>
      <c r="G1516" s="113"/>
      <c r="H1516" s="54" t="e">
        <f>E1516*H1513</f>
        <v>#REF!</v>
      </c>
      <c r="I1516" s="123"/>
      <c r="J1516" s="715">
        <f>J1487</f>
        <v>0</v>
      </c>
    </row>
    <row r="1517" spans="1:10" s="124" customFormat="1" ht="17.100000000000001" hidden="1" customHeight="1">
      <c r="A1517" s="50" t="e">
        <f t="shared" si="64"/>
        <v>#REF!</v>
      </c>
      <c r="B1517" s="118"/>
      <c r="C1517" s="170" t="s">
        <v>562</v>
      </c>
      <c r="D1517" s="171" t="s">
        <v>563</v>
      </c>
      <c r="E1517" s="179">
        <f>tn</f>
        <v>0.06</v>
      </c>
      <c r="F1517" s="177"/>
      <c r="G1517" s="178"/>
      <c r="H1517" s="181" t="e">
        <f>SUM(H1513:H1514)*E1517</f>
        <v>#REF!</v>
      </c>
      <c r="I1517" s="123"/>
      <c r="J1517" s="110">
        <f>J1487</f>
        <v>0</v>
      </c>
    </row>
    <row r="1518" spans="1:10" s="124" customFormat="1" ht="17.100000000000001" hidden="1" customHeight="1">
      <c r="A1518" s="50" t="e">
        <f t="shared" si="64"/>
        <v>#REF!</v>
      </c>
      <c r="B1518" s="118"/>
      <c r="C1518" s="92" t="s">
        <v>1879</v>
      </c>
      <c r="D1518" s="171" t="s">
        <v>227</v>
      </c>
      <c r="E1518" s="180" t="s">
        <v>564</v>
      </c>
      <c r="F1518" s="174"/>
      <c r="G1518" s="175"/>
      <c r="H1518" s="173" t="e">
        <f>SUM(H1519:H1520)</f>
        <v>#REF!</v>
      </c>
      <c r="I1518" s="123"/>
      <c r="J1518" s="716">
        <f>J1487</f>
        <v>0</v>
      </c>
    </row>
    <row r="1519" spans="1:10" s="124" customFormat="1" ht="17.100000000000001" hidden="1" customHeight="1">
      <c r="A1519" s="50" t="e">
        <f t="shared" si="64"/>
        <v>#REF!</v>
      </c>
      <c r="B1519" s="118"/>
      <c r="C1519" s="51" t="s">
        <v>427</v>
      </c>
      <c r="D1519" s="52" t="s">
        <v>428</v>
      </c>
      <c r="E1519" s="1093">
        <f>paks</f>
        <v>0</v>
      </c>
      <c r="F1519" s="174"/>
      <c r="G1519" s="175"/>
      <c r="H1519" s="54" t="e">
        <f>(H1513+H1514+H1517)*E1519</f>
        <v>#REF!</v>
      </c>
      <c r="I1519" s="123"/>
      <c r="J1519" s="716">
        <f>J1487</f>
        <v>0</v>
      </c>
    </row>
    <row r="1520" spans="1:10" s="124" customFormat="1" ht="17.100000000000001" hidden="1" customHeight="1">
      <c r="A1520" s="50" t="e">
        <f t="shared" ref="A1520:A1571" si="69">IF(B1520&lt;&gt;0,A1519+J1520,A1519)</f>
        <v>#REF!</v>
      </c>
      <c r="B1520" s="118"/>
      <c r="C1520" s="51" t="s">
        <v>429</v>
      </c>
      <c r="D1520" s="52" t="s">
        <v>430</v>
      </c>
      <c r="E1520" s="1093">
        <f>bcks</f>
        <v>0.03</v>
      </c>
      <c r="F1520" s="53"/>
      <c r="G1520" s="113"/>
      <c r="H1520" s="54" t="e">
        <f>(H1513+H1514+H1517)*E1520</f>
        <v>#REF!</v>
      </c>
      <c r="I1520" s="123"/>
      <c r="J1520" s="716">
        <f>J1487</f>
        <v>0</v>
      </c>
    </row>
    <row r="1521" spans="1:10" s="124" customFormat="1" ht="17.100000000000001" hidden="1" customHeight="1">
      <c r="A1521" s="50" t="e">
        <f t="shared" si="69"/>
        <v>#REF!</v>
      </c>
      <c r="B1521" s="118"/>
      <c r="C1521" s="170" t="s">
        <v>565</v>
      </c>
      <c r="D1521" s="171" t="s">
        <v>218</v>
      </c>
      <c r="E1521" s="172" t="s">
        <v>566</v>
      </c>
      <c r="F1521" s="53"/>
      <c r="G1521" s="113"/>
      <c r="H1521" s="173" t="e">
        <f>H1513+H1514+H1517+H1518</f>
        <v>#REF!</v>
      </c>
      <c r="I1521" s="123"/>
      <c r="J1521" s="716">
        <f>J1487</f>
        <v>0</v>
      </c>
    </row>
    <row r="1522" spans="1:10" s="124" customFormat="1" ht="17.100000000000001" hidden="1" customHeight="1">
      <c r="A1522" s="50" t="e">
        <f t="shared" si="69"/>
        <v>#REF!</v>
      </c>
      <c r="B1522" s="118"/>
      <c r="C1522" s="51" t="s">
        <v>567</v>
      </c>
      <c r="D1522" s="52" t="s">
        <v>222</v>
      </c>
      <c r="E1522" s="112" t="s">
        <v>1917</v>
      </c>
      <c r="F1522" s="174"/>
      <c r="G1522" s="175"/>
      <c r="H1522" s="54" t="e">
        <f>ROUND(H1521*10/100,5)</f>
        <v>#REF!</v>
      </c>
      <c r="I1522" s="123"/>
      <c r="J1522" s="716">
        <f>J1487</f>
        <v>0</v>
      </c>
    </row>
    <row r="1523" spans="1:10" s="124" customFormat="1" ht="17.100000000000001" hidden="1" customHeight="1">
      <c r="A1523" s="50" t="e">
        <f t="shared" si="69"/>
        <v>#REF!</v>
      </c>
      <c r="B1523" s="51"/>
      <c r="C1523" s="170" t="s">
        <v>568</v>
      </c>
      <c r="D1523" s="171" t="s">
        <v>225</v>
      </c>
      <c r="E1523" s="172" t="s">
        <v>192</v>
      </c>
      <c r="F1523" s="53"/>
      <c r="G1523" s="117"/>
      <c r="H1523" s="56" t="e">
        <f>ROUND(H1521+H1522,5)</f>
        <v>#REF!</v>
      </c>
      <c r="I1523" s="126"/>
      <c r="J1523" s="716">
        <f>J1487</f>
        <v>0</v>
      </c>
    </row>
    <row r="1524" spans="1:10" s="263" customFormat="1" ht="30" hidden="1">
      <c r="A1524" s="264" t="e">
        <f t="shared" si="69"/>
        <v>#REF!</v>
      </c>
      <c r="B1524" s="265" t="s">
        <v>411</v>
      </c>
      <c r="C1524" s="269" t="s">
        <v>528</v>
      </c>
      <c r="D1524" s="266" t="s">
        <v>332</v>
      </c>
      <c r="E1524" s="270"/>
      <c r="F1524" s="267"/>
      <c r="G1524" s="271"/>
      <c r="H1524" s="268" t="e">
        <f>H1549</f>
        <v>#REF!</v>
      </c>
      <c r="I1524" s="272"/>
      <c r="J1524" s="273">
        <f>IF(SUMIF(Khaosat!$B$6:$B$47,'PT giaKS'!B1524,Khaosat!$I$6:$I$47)&lt;&gt;0,$J$6,0)</f>
        <v>0</v>
      </c>
    </row>
    <row r="1525" spans="1:10" s="55" customFormat="1" ht="17.100000000000001" hidden="1" customHeight="1">
      <c r="A1525" s="50" t="e">
        <f t="shared" si="69"/>
        <v>#REF!</v>
      </c>
      <c r="B1525" s="51"/>
      <c r="C1525" s="51" t="s">
        <v>128</v>
      </c>
      <c r="D1525" s="52" t="s">
        <v>0</v>
      </c>
      <c r="E1525" s="112"/>
      <c r="F1525" s="53"/>
      <c r="G1525" s="117"/>
      <c r="H1525" s="56">
        <f>ROUND(SUM(H1526:H1529),5)</f>
        <v>31813.924999999999</v>
      </c>
      <c r="I1525" s="115"/>
      <c r="J1525" s="110">
        <f>J1524</f>
        <v>0</v>
      </c>
    </row>
    <row r="1526" spans="1:10" s="55" customFormat="1" ht="17.100000000000001" hidden="1" customHeight="1">
      <c r="A1526" s="50" t="e">
        <f t="shared" si="69"/>
        <v>#REF!</v>
      </c>
      <c r="B1526" s="51"/>
      <c r="C1526" s="51" t="s">
        <v>515</v>
      </c>
      <c r="D1526" s="52" t="s">
        <v>451</v>
      </c>
      <c r="E1526" s="112">
        <v>0.06</v>
      </c>
      <c r="F1526" s="53">
        <f>VLKS!Q27</f>
        <v>150000</v>
      </c>
      <c r="G1526" s="117">
        <f>hsvl</f>
        <v>1</v>
      </c>
      <c r="H1526" s="54">
        <f>ROUND(E1526*F1526*G1526,5)</f>
        <v>9000</v>
      </c>
      <c r="I1526" s="114"/>
      <c r="J1526" s="110">
        <f>J1524</f>
        <v>0</v>
      </c>
    </row>
    <row r="1527" spans="1:10" s="55" customFormat="1" ht="17.100000000000001" hidden="1" customHeight="1">
      <c r="A1527" s="50" t="e">
        <f t="shared" si="69"/>
        <v>#REF!</v>
      </c>
      <c r="B1527" s="51"/>
      <c r="C1527" s="51" t="s">
        <v>529</v>
      </c>
      <c r="D1527" s="52" t="s">
        <v>451</v>
      </c>
      <c r="E1527" s="112">
        <v>3.5999999999999997E-2</v>
      </c>
      <c r="F1527" s="53">
        <f>VLKS!Q28</f>
        <v>200000</v>
      </c>
      <c r="G1527" s="117">
        <f>hsvl</f>
        <v>1</v>
      </c>
      <c r="H1527" s="54">
        <f>ROUND(E1527*F1527*G1527,5)</f>
        <v>7200</v>
      </c>
      <c r="I1527" s="114"/>
      <c r="J1527" s="110">
        <f>J1524</f>
        <v>0</v>
      </c>
    </row>
    <row r="1528" spans="1:10" s="55" customFormat="1" ht="17.100000000000001" hidden="1" customHeight="1">
      <c r="A1528" s="50" t="e">
        <f t="shared" si="69"/>
        <v>#REF!</v>
      </c>
      <c r="B1528" s="51"/>
      <c r="C1528" s="51" t="s">
        <v>494</v>
      </c>
      <c r="D1528" s="52" t="s">
        <v>495</v>
      </c>
      <c r="E1528" s="112">
        <v>7.55</v>
      </c>
      <c r="F1528" s="53">
        <f>VLKS!Q58</f>
        <v>1685</v>
      </c>
      <c r="G1528" s="117">
        <f>hsvl</f>
        <v>1</v>
      </c>
      <c r="H1528" s="54">
        <f>ROUND(E1528*F1528*G1528,5)</f>
        <v>12721.75</v>
      </c>
      <c r="I1528" s="114"/>
      <c r="J1528" s="110">
        <f>J1524</f>
        <v>0</v>
      </c>
    </row>
    <row r="1529" spans="1:10" s="55" customFormat="1" ht="17.100000000000001" hidden="1" customHeight="1">
      <c r="A1529" s="50" t="e">
        <f t="shared" si="69"/>
        <v>#REF!</v>
      </c>
      <c r="B1529" s="51"/>
      <c r="C1529" s="51" t="s">
        <v>127</v>
      </c>
      <c r="D1529" s="52" t="s">
        <v>126</v>
      </c>
      <c r="E1529" s="112">
        <f>10</f>
        <v>10</v>
      </c>
      <c r="F1529" s="53"/>
      <c r="G1529" s="117"/>
      <c r="H1529" s="54">
        <f>ROUND(SUM(H1526:H1528)*E1529/100,5)</f>
        <v>2892.1750000000002</v>
      </c>
      <c r="I1529" s="114"/>
      <c r="J1529" s="110">
        <f>J1524</f>
        <v>0</v>
      </c>
    </row>
    <row r="1530" spans="1:10" s="55" customFormat="1" ht="17.100000000000001" hidden="1" customHeight="1">
      <c r="A1530" s="50" t="e">
        <f t="shared" si="69"/>
        <v>#REF!</v>
      </c>
      <c r="B1530" s="51"/>
      <c r="C1530" s="51" t="s">
        <v>125</v>
      </c>
      <c r="D1530" s="52" t="s">
        <v>0</v>
      </c>
      <c r="E1530" s="112"/>
      <c r="F1530" s="53"/>
      <c r="G1530" s="117"/>
      <c r="H1530" s="56" t="e">
        <f>ROUND(SUM(H1531:H1531),5)</f>
        <v>#REF!</v>
      </c>
      <c r="I1530" s="115"/>
      <c r="J1530" s="110">
        <f>J1524</f>
        <v>0</v>
      </c>
    </row>
    <row r="1531" spans="1:10" s="55" customFormat="1" ht="17.100000000000001" hidden="1" customHeight="1">
      <c r="A1531" s="50" t="e">
        <f t="shared" si="69"/>
        <v>#REF!</v>
      </c>
      <c r="B1531" s="51"/>
      <c r="C1531" s="51" t="s">
        <v>424</v>
      </c>
      <c r="D1531" s="52" t="s">
        <v>3</v>
      </c>
      <c r="E1531" s="112">
        <v>4.46</v>
      </c>
      <c r="F1531" s="53" t="e">
        <f>'NC,M KS'!P6</f>
        <v>#REF!</v>
      </c>
      <c r="G1531" s="117">
        <f>hsnc</f>
        <v>1</v>
      </c>
      <c r="H1531" s="54" t="e">
        <f>ROUND(E1531*F1531*G1531,5)</f>
        <v>#REF!</v>
      </c>
      <c r="I1531" s="114"/>
      <c r="J1531" s="110">
        <f>J1524</f>
        <v>0</v>
      </c>
    </row>
    <row r="1532" spans="1:10" s="55" customFormat="1" ht="17.100000000000001" hidden="1" customHeight="1">
      <c r="A1532" s="50" t="e">
        <f t="shared" si="69"/>
        <v>#REF!</v>
      </c>
      <c r="B1532" s="51"/>
      <c r="C1532" s="51" t="s">
        <v>124</v>
      </c>
      <c r="D1532" s="52" t="s">
        <v>0</v>
      </c>
      <c r="E1532" s="112"/>
      <c r="F1532" s="53"/>
      <c r="G1532" s="117"/>
      <c r="H1532" s="56">
        <f>ROUND(SUM(H1533:H1538),5)</f>
        <v>297692.65438000002</v>
      </c>
      <c r="I1532" s="115"/>
      <c r="J1532" s="110">
        <f>J1524</f>
        <v>0</v>
      </c>
    </row>
    <row r="1533" spans="1:10" s="55" customFormat="1" ht="17.100000000000001" hidden="1" customHeight="1">
      <c r="A1533" s="50" t="e">
        <f t="shared" si="69"/>
        <v>#REF!</v>
      </c>
      <c r="B1533" s="51"/>
      <c r="C1533" s="51" t="s">
        <v>530</v>
      </c>
      <c r="D1533" s="52" t="s">
        <v>4</v>
      </c>
      <c r="E1533" s="112">
        <v>0.17</v>
      </c>
      <c r="F1533" s="53">
        <f>'NC,M KS'!P30</f>
        <v>1390555.1</v>
      </c>
      <c r="G1533" s="117">
        <f>hsm</f>
        <v>1</v>
      </c>
      <c r="H1533" s="54">
        <f>ROUND(E1533*F1533*G1533,5)</f>
        <v>236394.367</v>
      </c>
      <c r="I1533" s="114"/>
      <c r="J1533" s="110">
        <f>J1524</f>
        <v>0</v>
      </c>
    </row>
    <row r="1534" spans="1:10" s="55" customFormat="1" ht="17.100000000000001" hidden="1" customHeight="1">
      <c r="A1534" s="50" t="e">
        <f t="shared" si="69"/>
        <v>#REF!</v>
      </c>
      <c r="B1534" s="51"/>
      <c r="C1534" s="51" t="s">
        <v>511</v>
      </c>
      <c r="D1534" s="52" t="s">
        <v>4</v>
      </c>
      <c r="E1534" s="112">
        <v>0.15</v>
      </c>
      <c r="F1534" s="53">
        <f>'NC,M KS'!P21</f>
        <v>3499.3</v>
      </c>
      <c r="G1534" s="117">
        <f>hsm</f>
        <v>1</v>
      </c>
      <c r="H1534" s="54">
        <f>ROUND(E1534*F1534*G1534,5)</f>
        <v>524.89499999999998</v>
      </c>
      <c r="I1534" s="114"/>
      <c r="J1534" s="110">
        <f>J1524</f>
        <v>0</v>
      </c>
    </row>
    <row r="1535" spans="1:10" s="55" customFormat="1" ht="17.100000000000001" hidden="1" customHeight="1">
      <c r="A1535" s="50" t="e">
        <f t="shared" si="69"/>
        <v>#REF!</v>
      </c>
      <c r="B1535" s="51"/>
      <c r="C1535" s="51" t="s">
        <v>531</v>
      </c>
      <c r="D1535" s="52" t="s">
        <v>4</v>
      </c>
      <c r="E1535" s="112">
        <v>0.3</v>
      </c>
      <c r="F1535" s="53">
        <f>'NC,M KS'!P18</f>
        <v>61220.35</v>
      </c>
      <c r="G1535" s="117">
        <f>hsm</f>
        <v>1</v>
      </c>
      <c r="H1535" s="54">
        <f>ROUND(E1535*F1535*G1535,5)</f>
        <v>18366.105</v>
      </c>
      <c r="I1535" s="114"/>
      <c r="J1535" s="110">
        <f>J1524</f>
        <v>0</v>
      </c>
    </row>
    <row r="1536" spans="1:10" s="55" customFormat="1" ht="17.100000000000001" hidden="1" customHeight="1">
      <c r="A1536" s="50" t="e">
        <f t="shared" si="69"/>
        <v>#REF!</v>
      </c>
      <c r="B1536" s="51"/>
      <c r="C1536" s="51" t="s">
        <v>502</v>
      </c>
      <c r="D1536" s="52" t="s">
        <v>4</v>
      </c>
      <c r="E1536" s="112">
        <v>0.77</v>
      </c>
      <c r="F1536" s="53">
        <f>'NC,M KS'!P13</f>
        <v>10053.540000000001</v>
      </c>
      <c r="G1536" s="117">
        <f>hsm</f>
        <v>1</v>
      </c>
      <c r="H1536" s="54">
        <f>ROUND(E1536*F1536*G1536,5)</f>
        <v>7741.2258000000002</v>
      </c>
      <c r="I1536" s="114"/>
      <c r="J1536" s="110">
        <f>J1524</f>
        <v>0</v>
      </c>
    </row>
    <row r="1537" spans="1:10" s="55" customFormat="1" ht="17.100000000000001" hidden="1" customHeight="1">
      <c r="A1537" s="50" t="e">
        <f t="shared" si="69"/>
        <v>#REF!</v>
      </c>
      <c r="B1537" s="51"/>
      <c r="C1537" s="51" t="s">
        <v>510</v>
      </c>
      <c r="D1537" s="52" t="s">
        <v>4</v>
      </c>
      <c r="E1537" s="112">
        <v>0.67</v>
      </c>
      <c r="F1537" s="53">
        <f>'NC,M KS'!P33</f>
        <v>11347.9</v>
      </c>
      <c r="G1537" s="117">
        <f>hsm</f>
        <v>1</v>
      </c>
      <c r="H1537" s="54">
        <f>ROUND(E1537*F1537*G1537,5)</f>
        <v>7603.0929999999998</v>
      </c>
      <c r="I1537" s="114"/>
      <c r="J1537" s="110">
        <f>J1524</f>
        <v>0</v>
      </c>
    </row>
    <row r="1538" spans="1:10" s="55" customFormat="1" ht="17.100000000000001" hidden="1" customHeight="1">
      <c r="A1538" s="50" t="e">
        <f t="shared" si="69"/>
        <v>#REF!</v>
      </c>
      <c r="B1538" s="51"/>
      <c r="C1538" s="51" t="s">
        <v>130</v>
      </c>
      <c r="D1538" s="52" t="s">
        <v>126</v>
      </c>
      <c r="E1538" s="112">
        <f>10</f>
        <v>10</v>
      </c>
      <c r="F1538" s="53"/>
      <c r="G1538" s="117"/>
      <c r="H1538" s="54">
        <f>ROUND(SUM(H1533:H1537)*E1538/100,5)</f>
        <v>27062.968580000001</v>
      </c>
      <c r="I1538" s="114"/>
      <c r="J1538" s="110">
        <f>J1524</f>
        <v>0</v>
      </c>
    </row>
    <row r="1539" spans="1:10" s="55" customFormat="1" ht="17.100000000000001" hidden="1" customHeight="1">
      <c r="A1539" s="50" t="e">
        <f t="shared" si="69"/>
        <v>#REF!</v>
      </c>
      <c r="B1539" s="51"/>
      <c r="C1539" s="170" t="s">
        <v>556</v>
      </c>
      <c r="D1539" s="171" t="s">
        <v>136</v>
      </c>
      <c r="E1539" s="172" t="s">
        <v>205</v>
      </c>
      <c r="F1539" s="53"/>
      <c r="G1539" s="117"/>
      <c r="H1539" s="173" t="e">
        <f>ROUND(H1525+H1530+H1532,5)</f>
        <v>#REF!</v>
      </c>
      <c r="I1539" s="114"/>
      <c r="J1539" s="110">
        <f>J1524</f>
        <v>0</v>
      </c>
    </row>
    <row r="1540" spans="1:10" s="55" customFormat="1" ht="17.100000000000001" hidden="1" customHeight="1">
      <c r="A1540" s="50" t="e">
        <f t="shared" si="69"/>
        <v>#REF!</v>
      </c>
      <c r="B1540" s="51"/>
      <c r="C1540" s="170" t="s">
        <v>557</v>
      </c>
      <c r="D1540" s="171" t="s">
        <v>204</v>
      </c>
      <c r="E1540" s="172" t="s">
        <v>558</v>
      </c>
      <c r="F1540" s="53"/>
      <c r="G1540" s="117"/>
      <c r="H1540" s="173" t="e">
        <f>SUM(H1541:H1542)</f>
        <v>#REF!</v>
      </c>
      <c r="I1540" s="114"/>
      <c r="J1540" s="110">
        <f>J1524</f>
        <v>0</v>
      </c>
    </row>
    <row r="1541" spans="1:10" s="55" customFormat="1" ht="17.100000000000001" hidden="1" customHeight="1">
      <c r="A1541" s="50" t="e">
        <f t="shared" si="69"/>
        <v>#REF!</v>
      </c>
      <c r="B1541" s="51"/>
      <c r="C1541" s="51" t="s">
        <v>426</v>
      </c>
      <c r="D1541" s="52" t="s">
        <v>559</v>
      </c>
      <c r="E1541" s="116">
        <f>cpc</f>
        <v>0.7</v>
      </c>
      <c r="F1541" s="174"/>
      <c r="G1541" s="175"/>
      <c r="H1541" s="54" t="e">
        <f>E1541*H1530</f>
        <v>#REF!</v>
      </c>
      <c r="I1541" s="114"/>
      <c r="J1541" s="110">
        <f>J1524</f>
        <v>0</v>
      </c>
    </row>
    <row r="1542" spans="1:10" s="55" customFormat="1" ht="30" hidden="1">
      <c r="A1542" s="50" t="e">
        <f t="shared" si="69"/>
        <v>#REF!</v>
      </c>
      <c r="B1542" s="51"/>
      <c r="C1542" s="78" t="s">
        <v>560</v>
      </c>
      <c r="D1542" s="79" t="s">
        <v>561</v>
      </c>
      <c r="E1542" s="176">
        <f>hmc</f>
        <v>0.05</v>
      </c>
      <c r="F1542" s="53"/>
      <c r="G1542" s="113"/>
      <c r="H1542" s="54" t="e">
        <f>E1542*H1539</f>
        <v>#REF!</v>
      </c>
      <c r="I1542" s="114"/>
      <c r="J1542" s="110">
        <f>J1524</f>
        <v>0</v>
      </c>
    </row>
    <row r="1543" spans="1:10" s="55" customFormat="1" ht="17.100000000000001" hidden="1" customHeight="1">
      <c r="A1543" s="50" t="e">
        <f t="shared" si="69"/>
        <v>#REF!</v>
      </c>
      <c r="B1543" s="51"/>
      <c r="C1543" s="170" t="s">
        <v>562</v>
      </c>
      <c r="D1543" s="171" t="s">
        <v>563</v>
      </c>
      <c r="E1543" s="179">
        <f>tn</f>
        <v>0.06</v>
      </c>
      <c r="F1543" s="177"/>
      <c r="G1543" s="178"/>
      <c r="H1543" s="181" t="e">
        <f>SUM(H1539:H1540)*E1543</f>
        <v>#REF!</v>
      </c>
      <c r="I1543" s="114"/>
      <c r="J1543" s="110">
        <f>J1524</f>
        <v>0</v>
      </c>
    </row>
    <row r="1544" spans="1:10" s="55" customFormat="1" ht="17.100000000000001" hidden="1" customHeight="1">
      <c r="A1544" s="50" t="e">
        <f t="shared" si="69"/>
        <v>#REF!</v>
      </c>
      <c r="B1544" s="51"/>
      <c r="C1544" s="92" t="s">
        <v>1879</v>
      </c>
      <c r="D1544" s="171" t="s">
        <v>227</v>
      </c>
      <c r="E1544" s="180" t="s">
        <v>564</v>
      </c>
      <c r="F1544" s="174"/>
      <c r="G1544" s="175"/>
      <c r="H1544" s="173" t="e">
        <f>SUM(H1545:H1546)</f>
        <v>#REF!</v>
      </c>
      <c r="I1544" s="114"/>
      <c r="J1544" s="110">
        <f>J1524</f>
        <v>0</v>
      </c>
    </row>
    <row r="1545" spans="1:10" s="55" customFormat="1" ht="17.100000000000001" hidden="1" customHeight="1">
      <c r="A1545" s="50" t="e">
        <f t="shared" si="69"/>
        <v>#REF!</v>
      </c>
      <c r="B1545" s="51"/>
      <c r="C1545" s="51" t="s">
        <v>427</v>
      </c>
      <c r="D1545" s="52" t="s">
        <v>428</v>
      </c>
      <c r="E1545" s="1093">
        <f>paks</f>
        <v>0</v>
      </c>
      <c r="F1545" s="174"/>
      <c r="G1545" s="175"/>
      <c r="H1545" s="54" t="e">
        <f>(H1539+H1540+H1543)*E1545</f>
        <v>#REF!</v>
      </c>
      <c r="I1545" s="114"/>
      <c r="J1545" s="715">
        <f>J1524</f>
        <v>0</v>
      </c>
    </row>
    <row r="1546" spans="1:10" s="55" customFormat="1" ht="17.100000000000001" hidden="1" customHeight="1">
      <c r="A1546" s="50" t="e">
        <f t="shared" si="69"/>
        <v>#REF!</v>
      </c>
      <c r="B1546" s="51"/>
      <c r="C1546" s="51" t="s">
        <v>429</v>
      </c>
      <c r="D1546" s="52" t="s">
        <v>430</v>
      </c>
      <c r="E1546" s="1093">
        <f>bcks</f>
        <v>0.03</v>
      </c>
      <c r="F1546" s="53"/>
      <c r="G1546" s="113"/>
      <c r="H1546" s="54" t="e">
        <f>(H1539+H1540+H1543)*E1546</f>
        <v>#REF!</v>
      </c>
      <c r="I1546" s="114"/>
      <c r="J1546" s="715">
        <f>J1524</f>
        <v>0</v>
      </c>
    </row>
    <row r="1547" spans="1:10" s="55" customFormat="1" ht="17.100000000000001" hidden="1" customHeight="1">
      <c r="A1547" s="50" t="e">
        <f t="shared" si="69"/>
        <v>#REF!</v>
      </c>
      <c r="B1547" s="51"/>
      <c r="C1547" s="170" t="s">
        <v>565</v>
      </c>
      <c r="D1547" s="171" t="s">
        <v>218</v>
      </c>
      <c r="E1547" s="172" t="s">
        <v>566</v>
      </c>
      <c r="F1547" s="53"/>
      <c r="G1547" s="113"/>
      <c r="H1547" s="173" t="e">
        <f>H1539+H1540+H1543+H1544</f>
        <v>#REF!</v>
      </c>
      <c r="I1547" s="114"/>
      <c r="J1547" s="715">
        <f>J1524</f>
        <v>0</v>
      </c>
    </row>
    <row r="1548" spans="1:10" s="55" customFormat="1" ht="17.100000000000001" hidden="1" customHeight="1">
      <c r="A1548" s="50" t="e">
        <f t="shared" si="69"/>
        <v>#REF!</v>
      </c>
      <c r="B1548" s="51"/>
      <c r="C1548" s="51" t="s">
        <v>567</v>
      </c>
      <c r="D1548" s="52" t="s">
        <v>222</v>
      </c>
      <c r="E1548" s="112" t="s">
        <v>1917</v>
      </c>
      <c r="F1548" s="174"/>
      <c r="G1548" s="175"/>
      <c r="H1548" s="54" t="e">
        <f>ROUND(H1547*10/100,5)</f>
        <v>#REF!</v>
      </c>
      <c r="I1548" s="114"/>
      <c r="J1548" s="715">
        <f>J1524</f>
        <v>0</v>
      </c>
    </row>
    <row r="1549" spans="1:10" s="55" customFormat="1" ht="17.100000000000001" hidden="1" customHeight="1">
      <c r="A1549" s="50" t="e">
        <f t="shared" si="69"/>
        <v>#REF!</v>
      </c>
      <c r="B1549" s="51"/>
      <c r="C1549" s="170" t="s">
        <v>568</v>
      </c>
      <c r="D1549" s="171" t="s">
        <v>225</v>
      </c>
      <c r="E1549" s="172" t="s">
        <v>192</v>
      </c>
      <c r="F1549" s="53"/>
      <c r="G1549" s="117"/>
      <c r="H1549" s="56" t="e">
        <f>ROUND(H1547+H1548,5)</f>
        <v>#REF!</v>
      </c>
      <c r="I1549" s="115"/>
      <c r="J1549" s="715">
        <f>J1524</f>
        <v>0</v>
      </c>
    </row>
    <row r="1550" spans="1:10" s="1105" customFormat="1" ht="17.100000000000001" customHeight="1">
      <c r="A1550" s="50" t="e">
        <f t="shared" si="69"/>
        <v>#REF!</v>
      </c>
      <c r="B1550" s="1098" t="s">
        <v>1898</v>
      </c>
      <c r="C1550" s="1098" t="s">
        <v>1899</v>
      </c>
      <c r="D1550" s="1099" t="s">
        <v>332</v>
      </c>
      <c r="E1550" s="1100"/>
      <c r="F1550" s="1101"/>
      <c r="G1550" s="1102"/>
      <c r="H1550" s="1103" t="e">
        <f>H1582</f>
        <v>#REF!</v>
      </c>
      <c r="I1550" s="1104"/>
      <c r="J1550" s="273" t="e">
        <f>IF(SUMIF(Khaosat!$B$6:$B$47,'PT giaKS'!B1550,Khaosat!$I$6:$I$47)&lt;&gt;0,$J$6,0)</f>
        <v>#REF!</v>
      </c>
    </row>
    <row r="1551" spans="1:10" s="257" customFormat="1" ht="17.100000000000001" customHeight="1">
      <c r="A1551" s="295" t="e">
        <f t="shared" si="69"/>
        <v>#REF!</v>
      </c>
      <c r="B1551" s="253"/>
      <c r="C1551" s="253" t="s">
        <v>946</v>
      </c>
      <c r="D1551" s="254" t="s">
        <v>0</v>
      </c>
      <c r="E1551" s="1106"/>
      <c r="F1551" s="255"/>
      <c r="G1551" s="1107"/>
      <c r="H1551" s="258">
        <f>ROUND(SUM(H1552:H1559),5)</f>
        <v>945775.6</v>
      </c>
      <c r="I1551" s="1108"/>
      <c r="J1551" s="110" t="e">
        <f>J1550</f>
        <v>#REF!</v>
      </c>
    </row>
    <row r="1552" spans="1:10" s="257" customFormat="1" ht="17.100000000000001" customHeight="1">
      <c r="A1552" s="295" t="e">
        <f t="shared" si="69"/>
        <v>#REF!</v>
      </c>
      <c r="B1552" s="253"/>
      <c r="C1552" s="253" t="s">
        <v>494</v>
      </c>
      <c r="D1552" s="254" t="s">
        <v>1900</v>
      </c>
      <c r="E1552" s="1106">
        <f>52.6</f>
        <v>52.6</v>
      </c>
      <c r="F1552" s="255">
        <f>VLKS!$Q$58</f>
        <v>1685</v>
      </c>
      <c r="G1552" s="1107">
        <v>1</v>
      </c>
      <c r="H1552" s="256">
        <f t="shared" ref="H1552:H1557" si="70">ROUND(E1552*F1552*G1552,5)</f>
        <v>88631</v>
      </c>
      <c r="I1552" s="1108"/>
      <c r="J1552" s="110" t="e">
        <f>J1550</f>
        <v>#REF!</v>
      </c>
    </row>
    <row r="1553" spans="1:10" s="257" customFormat="1" ht="17.100000000000001" customHeight="1">
      <c r="A1553" s="295" t="e">
        <f t="shared" si="69"/>
        <v>#REF!</v>
      </c>
      <c r="B1553" s="253"/>
      <c r="C1553" s="253" t="s">
        <v>1901</v>
      </c>
      <c r="D1553" s="254" t="s">
        <v>82</v>
      </c>
      <c r="E1553" s="1106">
        <f>0.035</f>
        <v>3.5000000000000003E-2</v>
      </c>
      <c r="F1553" s="255">
        <f>VLKS!$Q$70</f>
        <v>85000</v>
      </c>
      <c r="G1553" s="1107">
        <v>1</v>
      </c>
      <c r="H1553" s="256">
        <f t="shared" si="70"/>
        <v>2975</v>
      </c>
      <c r="I1553" s="1108"/>
      <c r="J1553" s="110" t="e">
        <f>J1550</f>
        <v>#REF!</v>
      </c>
    </row>
    <row r="1554" spans="1:10" s="257" customFormat="1" ht="17.100000000000001" customHeight="1">
      <c r="A1554" s="295" t="e">
        <f t="shared" si="69"/>
        <v>#REF!</v>
      </c>
      <c r="B1554" s="253"/>
      <c r="C1554" s="253" t="s">
        <v>1902</v>
      </c>
      <c r="D1554" s="254" t="s">
        <v>36</v>
      </c>
      <c r="E1554" s="1106">
        <f>2.5</f>
        <v>2.5</v>
      </c>
      <c r="F1554" s="255">
        <f>VLKS!$Q$71</f>
        <v>8000</v>
      </c>
      <c r="G1554" s="1107">
        <v>1</v>
      </c>
      <c r="H1554" s="256">
        <f t="shared" si="70"/>
        <v>20000</v>
      </c>
      <c r="I1554" s="1108"/>
      <c r="J1554" s="110" t="e">
        <f>J1550</f>
        <v>#REF!</v>
      </c>
    </row>
    <row r="1555" spans="1:10" s="257" customFormat="1" ht="17.100000000000001" customHeight="1">
      <c r="A1555" s="295" t="e">
        <f t="shared" si="69"/>
        <v>#REF!</v>
      </c>
      <c r="B1555" s="253"/>
      <c r="C1555" s="253" t="s">
        <v>496</v>
      </c>
      <c r="D1555" s="254" t="s">
        <v>82</v>
      </c>
      <c r="E1555" s="1106">
        <f>0.34</f>
        <v>0.34</v>
      </c>
      <c r="F1555" s="255">
        <f>VLKS!$Q$40</f>
        <v>60000</v>
      </c>
      <c r="G1555" s="1107">
        <v>1</v>
      </c>
      <c r="H1555" s="256">
        <f t="shared" si="70"/>
        <v>20400</v>
      </c>
      <c r="I1555" s="1108"/>
      <c r="J1555" s="110" t="e">
        <f>J1550</f>
        <v>#REF!</v>
      </c>
    </row>
    <row r="1556" spans="1:10" s="257" customFormat="1" ht="17.100000000000001" customHeight="1">
      <c r="A1556" s="295" t="e">
        <f t="shared" si="69"/>
        <v>#REF!</v>
      </c>
      <c r="B1556" s="253"/>
      <c r="C1556" s="253" t="s">
        <v>1903</v>
      </c>
      <c r="D1556" s="254" t="s">
        <v>82</v>
      </c>
      <c r="E1556" s="1106">
        <f>8.031</f>
        <v>8.0310000000000006</v>
      </c>
      <c r="F1556" s="255">
        <f>VLKS!$Q$30</f>
        <v>90000</v>
      </c>
      <c r="G1556" s="1107">
        <v>1</v>
      </c>
      <c r="H1556" s="256">
        <f t="shared" si="70"/>
        <v>722790</v>
      </c>
      <c r="I1556" s="1108"/>
      <c r="J1556" s="110" t="e">
        <f>J1550</f>
        <v>#REF!</v>
      </c>
    </row>
    <row r="1557" spans="1:10" s="257" customFormat="1" ht="17.100000000000001" customHeight="1">
      <c r="A1557" s="295" t="e">
        <f t="shared" si="69"/>
        <v>#REF!</v>
      </c>
      <c r="B1557" s="253"/>
      <c r="C1557" s="253" t="s">
        <v>1904</v>
      </c>
      <c r="D1557" s="254" t="s">
        <v>26</v>
      </c>
      <c r="E1557" s="1106">
        <f>0.1</f>
        <v>0.1</v>
      </c>
      <c r="F1557" s="1109">
        <f>VLKS!$Q$72/1000</f>
        <v>50000</v>
      </c>
      <c r="G1557" s="1107">
        <v>1</v>
      </c>
      <c r="H1557" s="256">
        <f t="shared" si="70"/>
        <v>5000</v>
      </c>
      <c r="I1557" s="1108"/>
      <c r="J1557" s="110" t="e">
        <f>J1550</f>
        <v>#REF!</v>
      </c>
    </row>
    <row r="1558" spans="1:10" s="257" customFormat="1" ht="17.100000000000001" customHeight="1">
      <c r="A1558" s="295" t="e">
        <f t="shared" si="69"/>
        <v>#REF!</v>
      </c>
      <c r="B1558" s="253"/>
      <c r="C1558" s="253" t="s">
        <v>1905</v>
      </c>
      <c r="D1558" s="254" t="s">
        <v>26</v>
      </c>
      <c r="E1558" s="1106"/>
      <c r="F1558" s="255"/>
      <c r="G1558" s="1107"/>
      <c r="H1558" s="256"/>
      <c r="I1558" s="1108"/>
      <c r="J1558" s="110" t="e">
        <f>J1550</f>
        <v>#REF!</v>
      </c>
    </row>
    <row r="1559" spans="1:10" s="257" customFormat="1" ht="17.100000000000001" customHeight="1">
      <c r="A1559" s="295" t="e">
        <f t="shared" si="69"/>
        <v>#REF!</v>
      </c>
      <c r="B1559" s="253"/>
      <c r="C1559" s="253" t="s">
        <v>127</v>
      </c>
      <c r="D1559" s="254" t="s">
        <v>126</v>
      </c>
      <c r="E1559" s="1106">
        <f>10</f>
        <v>10</v>
      </c>
      <c r="F1559" s="255"/>
      <c r="G1559" s="1107"/>
      <c r="H1559" s="256">
        <f>ROUND(SUM(H1552:H1558)*E1559/100,5)</f>
        <v>85979.6</v>
      </c>
      <c r="I1559" s="1108"/>
      <c r="J1559" s="110" t="e">
        <f>J1550</f>
        <v>#REF!</v>
      </c>
    </row>
    <row r="1560" spans="1:10" s="257" customFormat="1" ht="17.100000000000001" customHeight="1">
      <c r="A1560" s="295" t="e">
        <f t="shared" si="69"/>
        <v>#REF!</v>
      </c>
      <c r="B1560" s="253"/>
      <c r="C1560" s="253" t="s">
        <v>132</v>
      </c>
      <c r="D1560" s="254" t="s">
        <v>0</v>
      </c>
      <c r="E1560" s="1106"/>
      <c r="F1560" s="255"/>
      <c r="G1560" s="1107"/>
      <c r="H1560" s="258" t="e">
        <f>ROUND(SUM(H1561),5)</f>
        <v>#REF!</v>
      </c>
      <c r="I1560" s="1108"/>
      <c r="J1560" s="110" t="e">
        <f>J1550</f>
        <v>#REF!</v>
      </c>
    </row>
    <row r="1561" spans="1:10" s="257" customFormat="1" ht="17.100000000000001" customHeight="1">
      <c r="A1561" s="295" t="e">
        <f t="shared" si="69"/>
        <v>#REF!</v>
      </c>
      <c r="B1561" s="253"/>
      <c r="C1561" s="253" t="s">
        <v>424</v>
      </c>
      <c r="D1561" s="254" t="s">
        <v>3</v>
      </c>
      <c r="E1561" s="1106">
        <f>5.611</f>
        <v>5.6109999999999998</v>
      </c>
      <c r="F1561" s="255" t="e">
        <f>'NC,M KS'!$P$6</f>
        <v>#REF!</v>
      </c>
      <c r="G1561" s="1107">
        <v>1</v>
      </c>
      <c r="H1561" s="256" t="e">
        <f t="shared" ref="H1561:H1570" si="71">ROUND(E1561*F1561*G1561,5)</f>
        <v>#REF!</v>
      </c>
      <c r="I1561" s="1108"/>
      <c r="J1561" s="110" t="e">
        <f>J1550</f>
        <v>#REF!</v>
      </c>
    </row>
    <row r="1562" spans="1:10" s="257" customFormat="1" ht="17.100000000000001" customHeight="1">
      <c r="A1562" s="295" t="e">
        <f t="shared" si="69"/>
        <v>#REF!</v>
      </c>
      <c r="B1562" s="253"/>
      <c r="C1562" s="253" t="s">
        <v>131</v>
      </c>
      <c r="D1562" s="254" t="s">
        <v>0</v>
      </c>
      <c r="E1562" s="1106"/>
      <c r="F1562" s="255"/>
      <c r="G1562" s="1107"/>
      <c r="H1562" s="258">
        <f>ROUND(SUM(H1563:H1571),5)</f>
        <v>196237.90721</v>
      </c>
      <c r="I1562" s="1108"/>
      <c r="J1562" s="110" t="e">
        <f>J1550</f>
        <v>#REF!</v>
      </c>
    </row>
    <row r="1563" spans="1:10" s="257" customFormat="1" ht="17.100000000000001" customHeight="1">
      <c r="A1563" s="295" t="e">
        <f t="shared" si="69"/>
        <v>#REF!</v>
      </c>
      <c r="B1563" s="253"/>
      <c r="C1563" s="253" t="s">
        <v>510</v>
      </c>
      <c r="D1563" s="254" t="s">
        <v>4</v>
      </c>
      <c r="E1563" s="1106">
        <f>6.725</f>
        <v>6.7249999999999996</v>
      </c>
      <c r="F1563" s="255">
        <f>'NC,M KS'!$P$33</f>
        <v>11347.9</v>
      </c>
      <c r="G1563" s="1107">
        <v>1</v>
      </c>
      <c r="H1563" s="256">
        <f t="shared" si="71"/>
        <v>76314.627500000002</v>
      </c>
      <c r="I1563" s="1108"/>
      <c r="J1563" s="110" t="e">
        <f>J1550</f>
        <v>#REF!</v>
      </c>
    </row>
    <row r="1564" spans="1:10" s="257" customFormat="1" ht="17.100000000000001" customHeight="1">
      <c r="A1564" s="295" t="e">
        <f t="shared" si="69"/>
        <v>#REF!</v>
      </c>
      <c r="B1564" s="253"/>
      <c r="C1564" s="253" t="s">
        <v>1906</v>
      </c>
      <c r="D1564" s="254" t="s">
        <v>4</v>
      </c>
      <c r="E1564" s="1106">
        <f>0.073</f>
        <v>7.2999999999999995E-2</v>
      </c>
      <c r="F1564" s="255">
        <f>'NC,M KS'!$P$37</f>
        <v>437.5</v>
      </c>
      <c r="G1564" s="1107">
        <v>1</v>
      </c>
      <c r="H1564" s="256">
        <f t="shared" si="71"/>
        <v>31.9375</v>
      </c>
      <c r="I1564" s="1108"/>
      <c r="J1564" s="110" t="e">
        <f>J1550</f>
        <v>#REF!</v>
      </c>
    </row>
    <row r="1565" spans="1:10" s="257" customFormat="1" ht="17.100000000000001" customHeight="1">
      <c r="A1565" s="295" t="e">
        <f t="shared" si="69"/>
        <v>#REF!</v>
      </c>
      <c r="B1565" s="253"/>
      <c r="C1565" s="253" t="s">
        <v>1907</v>
      </c>
      <c r="D1565" s="254" t="s">
        <v>4</v>
      </c>
      <c r="E1565" s="1106">
        <f>0.537+0.077</f>
        <v>0.61399999999999999</v>
      </c>
      <c r="F1565" s="255">
        <f>'NC,M KS'!$P$12</f>
        <v>10053.540000000001</v>
      </c>
      <c r="G1565" s="1107">
        <v>1</v>
      </c>
      <c r="H1565" s="256">
        <f t="shared" si="71"/>
        <v>6172.87356</v>
      </c>
      <c r="I1565" s="1108"/>
      <c r="J1565" s="110" t="e">
        <f>J1550</f>
        <v>#REF!</v>
      </c>
    </row>
    <row r="1566" spans="1:10" s="257" customFormat="1" ht="17.100000000000001" customHeight="1">
      <c r="A1566" s="295" t="e">
        <f t="shared" si="69"/>
        <v>#REF!</v>
      </c>
      <c r="B1566" s="253"/>
      <c r="C1566" s="253" t="s">
        <v>1908</v>
      </c>
      <c r="D1566" s="254" t="s">
        <v>4</v>
      </c>
      <c r="E1566" s="1106">
        <f>0.25</f>
        <v>0.25</v>
      </c>
      <c r="F1566" s="255">
        <f>'NC,M KS'!$P$39</f>
        <v>4438.2</v>
      </c>
      <c r="G1566" s="1107">
        <v>1</v>
      </c>
      <c r="H1566" s="256">
        <f t="shared" si="71"/>
        <v>1109.55</v>
      </c>
      <c r="I1566" s="1108"/>
      <c r="J1566" s="110" t="e">
        <f>J1550</f>
        <v>#REF!</v>
      </c>
    </row>
    <row r="1567" spans="1:10" s="257" customFormat="1" ht="17.100000000000001" customHeight="1">
      <c r="A1567" s="295" t="e">
        <f t="shared" si="69"/>
        <v>#REF!</v>
      </c>
      <c r="B1567" s="253"/>
      <c r="C1567" s="253" t="s">
        <v>1909</v>
      </c>
      <c r="D1567" s="254" t="s">
        <v>4</v>
      </c>
      <c r="E1567" s="1106">
        <f>0.063</f>
        <v>6.3E-2</v>
      </c>
      <c r="F1567" s="255">
        <f>'NC,M KS'!P40</f>
        <v>5517.8</v>
      </c>
      <c r="G1567" s="1107">
        <v>1</v>
      </c>
      <c r="H1567" s="256">
        <f t="shared" si="71"/>
        <v>347.62139999999999</v>
      </c>
      <c r="I1567" s="1108"/>
      <c r="J1567" s="110" t="e">
        <f>J1550</f>
        <v>#REF!</v>
      </c>
    </row>
    <row r="1568" spans="1:10" s="257" customFormat="1" ht="17.100000000000001" customHeight="1">
      <c r="A1568" s="295" t="e">
        <f t="shared" si="69"/>
        <v>#REF!</v>
      </c>
      <c r="B1568" s="253"/>
      <c r="C1568" s="253" t="s">
        <v>1910</v>
      </c>
      <c r="D1568" s="254" t="s">
        <v>4</v>
      </c>
      <c r="E1568" s="1106">
        <f>0.063</f>
        <v>6.3E-2</v>
      </c>
      <c r="F1568" s="255">
        <f>'NC,M KS'!P41</f>
        <v>14850</v>
      </c>
      <c r="G1568" s="1107">
        <v>1</v>
      </c>
      <c r="H1568" s="256">
        <f t="shared" si="71"/>
        <v>935.55</v>
      </c>
      <c r="I1568" s="1108"/>
      <c r="J1568" s="110" t="e">
        <f>J1550</f>
        <v>#REF!</v>
      </c>
    </row>
    <row r="1569" spans="1:10" s="257" customFormat="1" ht="17.100000000000001" customHeight="1">
      <c r="A1569" s="295" t="e">
        <f t="shared" si="69"/>
        <v>#REF!</v>
      </c>
      <c r="B1569" s="253"/>
      <c r="C1569" s="253" t="s">
        <v>1911</v>
      </c>
      <c r="D1569" s="254" t="s">
        <v>4</v>
      </c>
      <c r="E1569" s="1106">
        <f>0.125</f>
        <v>0.125</v>
      </c>
      <c r="F1569" s="255">
        <f>'NC,M KS'!P42</f>
        <v>13125</v>
      </c>
      <c r="G1569" s="1107">
        <v>1</v>
      </c>
      <c r="H1569" s="256">
        <f t="shared" si="71"/>
        <v>1640.625</v>
      </c>
      <c r="I1569" s="1108"/>
      <c r="J1569" s="110" t="e">
        <f>J1550</f>
        <v>#REF!</v>
      </c>
    </row>
    <row r="1570" spans="1:10" s="257" customFormat="1" ht="17.100000000000001" customHeight="1">
      <c r="A1570" s="295" t="e">
        <f t="shared" si="69"/>
        <v>#REF!</v>
      </c>
      <c r="B1570" s="253"/>
      <c r="C1570" s="253" t="s">
        <v>497</v>
      </c>
      <c r="D1570" s="254" t="s">
        <v>4</v>
      </c>
      <c r="E1570" s="1106">
        <f>6.6</f>
        <v>6.6</v>
      </c>
      <c r="F1570" s="255">
        <f>'NC,M KS'!P24</f>
        <v>15203.1</v>
      </c>
      <c r="G1570" s="1107">
        <v>1</v>
      </c>
      <c r="H1570" s="256">
        <f t="shared" si="71"/>
        <v>100340.46</v>
      </c>
      <c r="I1570" s="1108"/>
      <c r="J1570" s="110" t="e">
        <f>J1550</f>
        <v>#REF!</v>
      </c>
    </row>
    <row r="1571" spans="1:10" s="257" customFormat="1" ht="17.100000000000001" customHeight="1">
      <c r="A1571" s="295" t="e">
        <f t="shared" si="69"/>
        <v>#REF!</v>
      </c>
      <c r="B1571" s="253"/>
      <c r="C1571" s="253" t="s">
        <v>130</v>
      </c>
      <c r="D1571" s="254" t="s">
        <v>126</v>
      </c>
      <c r="E1571" s="1106">
        <f>5</f>
        <v>5</v>
      </c>
      <c r="F1571" s="255"/>
      <c r="G1571" s="1107"/>
      <c r="H1571" s="256">
        <f>ROUND(SUM(H1563:H1570)*E1571/100,5)</f>
        <v>9344.6622499999994</v>
      </c>
      <c r="I1571" s="1108"/>
      <c r="J1571" s="715" t="e">
        <f>J1550</f>
        <v>#REF!</v>
      </c>
    </row>
    <row r="1572" spans="1:10" s="55" customFormat="1" ht="17.100000000000001" customHeight="1">
      <c r="A1572" s="295" t="e">
        <f t="shared" ref="A1572:A1611" si="72">IF(B1572&lt;&gt;0,A1571+J1572,A1571)</f>
        <v>#REF!</v>
      </c>
      <c r="B1572" s="51"/>
      <c r="C1572" s="170" t="s">
        <v>556</v>
      </c>
      <c r="D1572" s="171" t="s">
        <v>136</v>
      </c>
      <c r="E1572" s="172" t="s">
        <v>205</v>
      </c>
      <c r="F1572" s="53"/>
      <c r="G1572" s="117"/>
      <c r="H1572" s="173" t="e">
        <f>ROUND(H1551+H1560+H1562,5)</f>
        <v>#REF!</v>
      </c>
      <c r="I1572" s="114"/>
      <c r="J1572" s="715" t="e">
        <f>J1550</f>
        <v>#REF!</v>
      </c>
    </row>
    <row r="1573" spans="1:10" s="55" customFormat="1" ht="17.100000000000001" customHeight="1">
      <c r="A1573" s="295" t="e">
        <f t="shared" si="72"/>
        <v>#REF!</v>
      </c>
      <c r="B1573" s="51"/>
      <c r="C1573" s="170" t="s">
        <v>557</v>
      </c>
      <c r="D1573" s="171" t="s">
        <v>204</v>
      </c>
      <c r="E1573" s="172" t="s">
        <v>558</v>
      </c>
      <c r="F1573" s="53"/>
      <c r="G1573" s="117"/>
      <c r="H1573" s="173" t="e">
        <f>SUM(H1574:H1575)</f>
        <v>#REF!</v>
      </c>
      <c r="I1573" s="114"/>
      <c r="J1573" s="715" t="e">
        <f>J1550</f>
        <v>#REF!</v>
      </c>
    </row>
    <row r="1574" spans="1:10" s="55" customFormat="1" ht="17.100000000000001" customHeight="1">
      <c r="A1574" s="295" t="e">
        <f t="shared" si="72"/>
        <v>#REF!</v>
      </c>
      <c r="B1574" s="51"/>
      <c r="C1574" s="51" t="s">
        <v>426</v>
      </c>
      <c r="D1574" s="52" t="s">
        <v>559</v>
      </c>
      <c r="E1574" s="116">
        <f>cpc</f>
        <v>0.7</v>
      </c>
      <c r="F1574" s="174"/>
      <c r="G1574" s="175"/>
      <c r="H1574" s="54">
        <f>E1574*H1563</f>
        <v>53420.239249999999</v>
      </c>
      <c r="I1574" s="114"/>
      <c r="J1574" s="715" t="e">
        <f>J1550</f>
        <v>#REF!</v>
      </c>
    </row>
    <row r="1575" spans="1:10" s="55" customFormat="1" ht="30">
      <c r="A1575" s="295" t="e">
        <f t="shared" si="72"/>
        <v>#REF!</v>
      </c>
      <c r="B1575" s="51"/>
      <c r="C1575" s="78" t="s">
        <v>560</v>
      </c>
      <c r="D1575" s="79" t="s">
        <v>561</v>
      </c>
      <c r="E1575" s="176">
        <f>hmc</f>
        <v>0.05</v>
      </c>
      <c r="F1575" s="53"/>
      <c r="G1575" s="113"/>
      <c r="H1575" s="54" t="e">
        <f>E1575*H1572</f>
        <v>#REF!</v>
      </c>
      <c r="I1575" s="114"/>
      <c r="J1575" s="715" t="e">
        <f>J1550</f>
        <v>#REF!</v>
      </c>
    </row>
    <row r="1576" spans="1:10" s="55" customFormat="1" ht="17.100000000000001" customHeight="1">
      <c r="A1576" s="295" t="e">
        <f t="shared" si="72"/>
        <v>#REF!</v>
      </c>
      <c r="B1576" s="51"/>
      <c r="C1576" s="170" t="s">
        <v>562</v>
      </c>
      <c r="D1576" s="171" t="s">
        <v>563</v>
      </c>
      <c r="E1576" s="179">
        <f>tn</f>
        <v>0.06</v>
      </c>
      <c r="F1576" s="177"/>
      <c r="G1576" s="178"/>
      <c r="H1576" s="181" t="e">
        <f>SUM(H1572:H1573)*E1576</f>
        <v>#REF!</v>
      </c>
      <c r="I1576" s="114"/>
      <c r="J1576" s="715" t="e">
        <f>J1550</f>
        <v>#REF!</v>
      </c>
    </row>
    <row r="1577" spans="1:10" s="55" customFormat="1" ht="17.100000000000001" customHeight="1">
      <c r="A1577" s="295" t="e">
        <f t="shared" si="72"/>
        <v>#REF!</v>
      </c>
      <c r="B1577" s="51"/>
      <c r="C1577" s="92" t="s">
        <v>1879</v>
      </c>
      <c r="D1577" s="171" t="s">
        <v>227</v>
      </c>
      <c r="E1577" s="180" t="s">
        <v>564</v>
      </c>
      <c r="F1577" s="174"/>
      <c r="G1577" s="175"/>
      <c r="H1577" s="173" t="e">
        <f>SUM(H1578:H1579)</f>
        <v>#REF!</v>
      </c>
      <c r="I1577" s="114"/>
      <c r="J1577" s="715" t="e">
        <f>J1550</f>
        <v>#REF!</v>
      </c>
    </row>
    <row r="1578" spans="1:10" s="55" customFormat="1" ht="17.100000000000001" customHeight="1">
      <c r="A1578" s="295" t="e">
        <f t="shared" si="72"/>
        <v>#REF!</v>
      </c>
      <c r="B1578" s="51"/>
      <c r="C1578" s="51" t="s">
        <v>427</v>
      </c>
      <c r="D1578" s="52" t="s">
        <v>428</v>
      </c>
      <c r="E1578" s="1093">
        <f>paks</f>
        <v>0</v>
      </c>
      <c r="F1578" s="174"/>
      <c r="G1578" s="175"/>
      <c r="H1578" s="54" t="e">
        <f>(H1572+H1573+H1576)*E1578</f>
        <v>#REF!</v>
      </c>
      <c r="I1578" s="114"/>
      <c r="J1578" s="715" t="e">
        <f>J1550</f>
        <v>#REF!</v>
      </c>
    </row>
    <row r="1579" spans="1:10" s="55" customFormat="1" ht="17.100000000000001" customHeight="1">
      <c r="A1579" s="295" t="e">
        <f t="shared" si="72"/>
        <v>#REF!</v>
      </c>
      <c r="B1579" s="51"/>
      <c r="C1579" s="51" t="s">
        <v>429</v>
      </c>
      <c r="D1579" s="52" t="s">
        <v>430</v>
      </c>
      <c r="E1579" s="1093">
        <f>bcks</f>
        <v>0.03</v>
      </c>
      <c r="F1579" s="53"/>
      <c r="G1579" s="113"/>
      <c r="H1579" s="54" t="e">
        <f>(H1572+H1573+H1576)*E1579</f>
        <v>#REF!</v>
      </c>
      <c r="I1579" s="114"/>
      <c r="J1579" s="715" t="e">
        <f>J1550</f>
        <v>#REF!</v>
      </c>
    </row>
    <row r="1580" spans="1:10" s="55" customFormat="1" ht="17.100000000000001" customHeight="1">
      <c r="A1580" s="295" t="e">
        <f t="shared" si="72"/>
        <v>#REF!</v>
      </c>
      <c r="B1580" s="51"/>
      <c r="C1580" s="170" t="s">
        <v>565</v>
      </c>
      <c r="D1580" s="171" t="s">
        <v>218</v>
      </c>
      <c r="E1580" s="172" t="s">
        <v>566</v>
      </c>
      <c r="F1580" s="53"/>
      <c r="G1580" s="113"/>
      <c r="H1580" s="173" t="e">
        <f>H1572+H1573+H1576+H1577</f>
        <v>#REF!</v>
      </c>
      <c r="I1580" s="114"/>
      <c r="J1580" s="715" t="e">
        <f>J1550</f>
        <v>#REF!</v>
      </c>
    </row>
    <row r="1581" spans="1:10" s="55" customFormat="1" ht="17.100000000000001" customHeight="1">
      <c r="A1581" s="295" t="e">
        <f t="shared" si="72"/>
        <v>#REF!</v>
      </c>
      <c r="B1581" s="51"/>
      <c r="C1581" s="51" t="s">
        <v>567</v>
      </c>
      <c r="D1581" s="52" t="s">
        <v>222</v>
      </c>
      <c r="E1581" s="112" t="s">
        <v>1917</v>
      </c>
      <c r="F1581" s="174"/>
      <c r="G1581" s="175"/>
      <c r="H1581" s="54" t="e">
        <f>ROUND(H1580*10/100,5)</f>
        <v>#REF!</v>
      </c>
      <c r="I1581" s="114"/>
      <c r="J1581" s="715" t="e">
        <f>J1550</f>
        <v>#REF!</v>
      </c>
    </row>
    <row r="1582" spans="1:10" s="55" customFormat="1" ht="17.100000000000001" customHeight="1">
      <c r="A1582" s="295" t="e">
        <f t="shared" si="72"/>
        <v>#REF!</v>
      </c>
      <c r="B1582" s="51"/>
      <c r="C1582" s="170" t="s">
        <v>568</v>
      </c>
      <c r="D1582" s="171" t="s">
        <v>225</v>
      </c>
      <c r="E1582" s="172" t="s">
        <v>192</v>
      </c>
      <c r="F1582" s="53"/>
      <c r="G1582" s="117"/>
      <c r="H1582" s="56" t="e">
        <f>ROUND(H1580+H1581,5)</f>
        <v>#REF!</v>
      </c>
      <c r="I1582" s="115"/>
      <c r="J1582" s="715" t="e">
        <f>J1550</f>
        <v>#REF!</v>
      </c>
    </row>
    <row r="1583" spans="1:10" s="1105" customFormat="1" ht="17.100000000000001" customHeight="1">
      <c r="A1583" s="50" t="e">
        <f t="shared" si="72"/>
        <v>#REF!</v>
      </c>
      <c r="B1583" s="1098" t="s">
        <v>1913</v>
      </c>
      <c r="C1583" s="1098" t="s">
        <v>1914</v>
      </c>
      <c r="D1583" s="1099" t="s">
        <v>332</v>
      </c>
      <c r="E1583" s="1100"/>
      <c r="F1583" s="1101"/>
      <c r="G1583" s="1102"/>
      <c r="H1583" s="1103" t="e">
        <f>H1611</f>
        <v>#REF!</v>
      </c>
      <c r="I1583" s="1104"/>
      <c r="J1583" s="273" t="e">
        <f>IF(SUMIF(Khaosat!$B$6:$B$47,'PT giaKS'!B1583,Khaosat!$I$6:$I$47)&lt;&gt;0,$J$6,0)</f>
        <v>#REF!</v>
      </c>
    </row>
    <row r="1584" spans="1:10" s="257" customFormat="1" ht="17.100000000000001" customHeight="1">
      <c r="A1584" s="295" t="e">
        <f t="shared" si="72"/>
        <v>#REF!</v>
      </c>
      <c r="B1584" s="253"/>
      <c r="C1584" s="253" t="s">
        <v>946</v>
      </c>
      <c r="D1584" s="254" t="s">
        <v>0</v>
      </c>
      <c r="E1584" s="1106"/>
      <c r="F1584" s="255"/>
      <c r="G1584" s="1107"/>
      <c r="H1584" s="258">
        <f>ROUND(SUM(H1585:H1592),5)</f>
        <v>482177.35499999998</v>
      </c>
      <c r="I1584" s="1108"/>
      <c r="J1584" s="110" t="e">
        <f>J1583</f>
        <v>#REF!</v>
      </c>
    </row>
    <row r="1585" spans="1:10" s="257" customFormat="1" ht="17.100000000000001" customHeight="1">
      <c r="A1585" s="295" t="e">
        <f t="shared" si="72"/>
        <v>#REF!</v>
      </c>
      <c r="B1585" s="253"/>
      <c r="C1585" s="253" t="s">
        <v>494</v>
      </c>
      <c r="D1585" s="254" t="s">
        <v>1900</v>
      </c>
      <c r="E1585" s="1106">
        <v>21.53</v>
      </c>
      <c r="F1585" s="255">
        <f>VLKS!$Q$58</f>
        <v>1685</v>
      </c>
      <c r="G1585" s="1107">
        <v>1</v>
      </c>
      <c r="H1585" s="256">
        <f t="shared" ref="H1585:H1590" si="73">ROUND(E1585*F1585*G1585,5)</f>
        <v>36278.050000000003</v>
      </c>
      <c r="I1585" s="1108"/>
      <c r="J1585" s="110" t="e">
        <f>J1583</f>
        <v>#REF!</v>
      </c>
    </row>
    <row r="1586" spans="1:10" s="257" customFormat="1" ht="17.100000000000001" customHeight="1">
      <c r="A1586" s="295" t="e">
        <f t="shared" si="72"/>
        <v>#REF!</v>
      </c>
      <c r="B1586" s="253"/>
      <c r="C1586" s="253" t="s">
        <v>1901</v>
      </c>
      <c r="D1586" s="254" t="s">
        <v>82</v>
      </c>
      <c r="E1586" s="1106">
        <v>3.4999999999999996E-2</v>
      </c>
      <c r="F1586" s="255">
        <f>VLKS!$Q$70</f>
        <v>85000</v>
      </c>
      <c r="G1586" s="1107">
        <v>1</v>
      </c>
      <c r="H1586" s="256">
        <f t="shared" si="73"/>
        <v>2975</v>
      </c>
      <c r="I1586" s="1108"/>
      <c r="J1586" s="110" t="e">
        <f>J1583</f>
        <v>#REF!</v>
      </c>
    </row>
    <row r="1587" spans="1:10" s="257" customFormat="1" ht="17.100000000000001" customHeight="1">
      <c r="A1587" s="295" t="e">
        <f t="shared" si="72"/>
        <v>#REF!</v>
      </c>
      <c r="B1587" s="253"/>
      <c r="C1587" s="253" t="s">
        <v>1902</v>
      </c>
      <c r="D1587" s="254" t="s">
        <v>36</v>
      </c>
      <c r="E1587" s="1106">
        <v>2</v>
      </c>
      <c r="F1587" s="255">
        <f>VLKS!$Q$71</f>
        <v>8000</v>
      </c>
      <c r="G1587" s="1107">
        <v>1</v>
      </c>
      <c r="H1587" s="256">
        <f t="shared" si="73"/>
        <v>16000</v>
      </c>
      <c r="I1587" s="1108"/>
      <c r="J1587" s="110" t="e">
        <f>J1583</f>
        <v>#REF!</v>
      </c>
    </row>
    <row r="1588" spans="1:10" s="257" customFormat="1" ht="17.100000000000001" customHeight="1">
      <c r="A1588" s="295" t="e">
        <f t="shared" si="72"/>
        <v>#REF!</v>
      </c>
      <c r="B1588" s="253"/>
      <c r="C1588" s="253" t="s">
        <v>496</v>
      </c>
      <c r="D1588" s="254" t="s">
        <v>82</v>
      </c>
      <c r="E1588" s="1106">
        <v>0.255</v>
      </c>
      <c r="F1588" s="255">
        <f>VLKS!$Q$40</f>
        <v>60000</v>
      </c>
      <c r="G1588" s="1107">
        <v>1</v>
      </c>
      <c r="H1588" s="256">
        <f t="shared" si="73"/>
        <v>15300</v>
      </c>
      <c r="I1588" s="1108"/>
      <c r="J1588" s="110" t="e">
        <f>J1583</f>
        <v>#REF!</v>
      </c>
    </row>
    <row r="1589" spans="1:10" s="257" customFormat="1" ht="17.100000000000001" customHeight="1">
      <c r="A1589" s="295" t="e">
        <f t="shared" si="72"/>
        <v>#REF!</v>
      </c>
      <c r="B1589" s="253"/>
      <c r="C1589" s="253" t="s">
        <v>1903</v>
      </c>
      <c r="D1589" s="254" t="s">
        <v>82</v>
      </c>
      <c r="E1589" s="1106">
        <v>4.0309999999999997</v>
      </c>
      <c r="F1589" s="255">
        <f>VLKS!$Q$30</f>
        <v>90000</v>
      </c>
      <c r="G1589" s="1107">
        <v>1</v>
      </c>
      <c r="H1589" s="256">
        <f t="shared" si="73"/>
        <v>362790</v>
      </c>
      <c r="I1589" s="1108"/>
      <c r="J1589" s="110" t="e">
        <f>J1583</f>
        <v>#REF!</v>
      </c>
    </row>
    <row r="1590" spans="1:10" s="257" customFormat="1" ht="17.100000000000001" customHeight="1">
      <c r="A1590" s="295" t="e">
        <f t="shared" si="72"/>
        <v>#REF!</v>
      </c>
      <c r="B1590" s="253"/>
      <c r="C1590" s="253" t="s">
        <v>1904</v>
      </c>
      <c r="D1590" s="254" t="s">
        <v>26</v>
      </c>
      <c r="E1590" s="1106">
        <v>0.1</v>
      </c>
      <c r="F1590" s="1109">
        <f>VLKS!$Q$72/1000</f>
        <v>50000</v>
      </c>
      <c r="G1590" s="1107">
        <v>1</v>
      </c>
      <c r="H1590" s="256">
        <f t="shared" si="73"/>
        <v>5000</v>
      </c>
      <c r="I1590" s="1108"/>
      <c r="J1590" s="110" t="e">
        <f>J1583</f>
        <v>#REF!</v>
      </c>
    </row>
    <row r="1591" spans="1:10" s="257" customFormat="1" ht="17.100000000000001" customHeight="1">
      <c r="A1591" s="295" t="e">
        <f t="shared" si="72"/>
        <v>#REF!</v>
      </c>
      <c r="B1591" s="253"/>
      <c r="C1591" s="253" t="s">
        <v>1905</v>
      </c>
      <c r="D1591" s="254" t="s">
        <v>26</v>
      </c>
      <c r="E1591" s="1106"/>
      <c r="F1591" s="255"/>
      <c r="G1591" s="1107"/>
      <c r="H1591" s="256"/>
      <c r="I1591" s="1108"/>
      <c r="J1591" s="110" t="e">
        <f>J1583</f>
        <v>#REF!</v>
      </c>
    </row>
    <row r="1592" spans="1:10" s="257" customFormat="1" ht="17.100000000000001" customHeight="1">
      <c r="A1592" s="295" t="e">
        <f t="shared" si="72"/>
        <v>#REF!</v>
      </c>
      <c r="B1592" s="253"/>
      <c r="C1592" s="253" t="s">
        <v>127</v>
      </c>
      <c r="D1592" s="254" t="s">
        <v>126</v>
      </c>
      <c r="E1592" s="1106">
        <f>10</f>
        <v>10</v>
      </c>
      <c r="F1592" s="255"/>
      <c r="G1592" s="1107"/>
      <c r="H1592" s="256">
        <f>ROUND(SUM(H1585:H1591)*E1592/100,5)</f>
        <v>43834.305</v>
      </c>
      <c r="I1592" s="1108"/>
      <c r="J1592" s="110" t="e">
        <f>J1583</f>
        <v>#REF!</v>
      </c>
    </row>
    <row r="1593" spans="1:10" s="257" customFormat="1" ht="17.100000000000001" customHeight="1">
      <c r="A1593" s="295" t="e">
        <f t="shared" si="72"/>
        <v>#REF!</v>
      </c>
      <c r="B1593" s="253"/>
      <c r="C1593" s="253" t="s">
        <v>132</v>
      </c>
      <c r="D1593" s="254" t="s">
        <v>0</v>
      </c>
      <c r="E1593" s="1106"/>
      <c r="F1593" s="255"/>
      <c r="G1593" s="1107"/>
      <c r="H1593" s="258" t="e">
        <f>ROUND(SUM(H1594),5)</f>
        <v>#REF!</v>
      </c>
      <c r="I1593" s="1108"/>
      <c r="J1593" s="110" t="e">
        <f>J1583</f>
        <v>#REF!</v>
      </c>
    </row>
    <row r="1594" spans="1:10" s="257" customFormat="1" ht="17.100000000000001" customHeight="1">
      <c r="A1594" s="295" t="e">
        <f t="shared" si="72"/>
        <v>#REF!</v>
      </c>
      <c r="B1594" s="253"/>
      <c r="C1594" s="253" t="s">
        <v>424</v>
      </c>
      <c r="D1594" s="254" t="s">
        <v>3</v>
      </c>
      <c r="E1594" s="1106">
        <v>2.2549999999999999</v>
      </c>
      <c r="F1594" s="255" t="e">
        <f>'NC,M KS'!$P$6</f>
        <v>#REF!</v>
      </c>
      <c r="G1594" s="1107">
        <v>1</v>
      </c>
      <c r="H1594" s="256" t="e">
        <f t="shared" ref="H1594" si="74">ROUND(E1594*F1594*G1594,5)</f>
        <v>#REF!</v>
      </c>
      <c r="I1594" s="1108"/>
      <c r="J1594" s="110" t="e">
        <f>J1583</f>
        <v>#REF!</v>
      </c>
    </row>
    <row r="1595" spans="1:10" s="257" customFormat="1" ht="17.100000000000001" customHeight="1">
      <c r="A1595" s="295" t="e">
        <f t="shared" si="72"/>
        <v>#REF!</v>
      </c>
      <c r="B1595" s="253"/>
      <c r="C1595" s="253" t="s">
        <v>131</v>
      </c>
      <c r="D1595" s="254" t="s">
        <v>0</v>
      </c>
      <c r="E1595" s="1106"/>
      <c r="F1595" s="255"/>
      <c r="G1595" s="1107"/>
      <c r="H1595" s="258">
        <f>ROUND(SUM(H1596:H1600),5)</f>
        <v>35780.726900000001</v>
      </c>
      <c r="I1595" s="1108"/>
      <c r="J1595" s="110" t="e">
        <f>J1583</f>
        <v>#REF!</v>
      </c>
    </row>
    <row r="1596" spans="1:10" s="257" customFormat="1" ht="17.100000000000001" customHeight="1">
      <c r="A1596" s="295" t="e">
        <f t="shared" si="72"/>
        <v>#REF!</v>
      </c>
      <c r="B1596" s="253"/>
      <c r="C1596" s="253" t="s">
        <v>510</v>
      </c>
      <c r="D1596" s="254" t="s">
        <v>4</v>
      </c>
      <c r="E1596" s="1106">
        <v>2.6</v>
      </c>
      <c r="F1596" s="255">
        <f>'NC,M KS'!$P$33</f>
        <v>11347.9</v>
      </c>
      <c r="G1596" s="1107">
        <v>1</v>
      </c>
      <c r="H1596" s="256">
        <f t="shared" ref="H1596:H1599" si="75">ROUND(E1596*F1596*G1596,5)</f>
        <v>29504.54</v>
      </c>
      <c r="I1596" s="1108"/>
      <c r="J1596" s="110" t="e">
        <f>J1583</f>
        <v>#REF!</v>
      </c>
    </row>
    <row r="1597" spans="1:10" s="257" customFormat="1" ht="17.100000000000001" customHeight="1">
      <c r="A1597" s="295" t="e">
        <f t="shared" si="72"/>
        <v>#REF!</v>
      </c>
      <c r="B1597" s="253"/>
      <c r="C1597" s="253" t="s">
        <v>1906</v>
      </c>
      <c r="D1597" s="254" t="s">
        <v>4</v>
      </c>
      <c r="E1597" s="1106">
        <v>0.01</v>
      </c>
      <c r="F1597" s="255">
        <f>'NC,M KS'!$P$37</f>
        <v>437.5</v>
      </c>
      <c r="G1597" s="1107">
        <v>1</v>
      </c>
      <c r="H1597" s="256">
        <f t="shared" si="75"/>
        <v>4.375</v>
      </c>
      <c r="I1597" s="1108"/>
      <c r="J1597" s="110" t="e">
        <f>J1583</f>
        <v>#REF!</v>
      </c>
    </row>
    <row r="1598" spans="1:10" s="257" customFormat="1" ht="17.100000000000001" customHeight="1">
      <c r="A1598" s="295" t="e">
        <f t="shared" si="72"/>
        <v>#REF!</v>
      </c>
      <c r="B1598" s="253"/>
      <c r="C1598" s="253" t="s">
        <v>1907</v>
      </c>
      <c r="D1598" s="254" t="s">
        <v>4</v>
      </c>
      <c r="E1598" s="1106">
        <v>0.34399999999999997</v>
      </c>
      <c r="F1598" s="255">
        <f>'NC,M KS'!$P$12</f>
        <v>10053.540000000001</v>
      </c>
      <c r="G1598" s="1107">
        <v>1</v>
      </c>
      <c r="H1598" s="256">
        <f t="shared" si="75"/>
        <v>3458.4177599999998</v>
      </c>
      <c r="I1598" s="1108"/>
      <c r="J1598" s="110" t="e">
        <f>J1583</f>
        <v>#REF!</v>
      </c>
    </row>
    <row r="1599" spans="1:10" s="257" customFormat="1" ht="17.100000000000001" customHeight="1">
      <c r="A1599" s="295" t="e">
        <f t="shared" si="72"/>
        <v>#REF!</v>
      </c>
      <c r="B1599" s="253"/>
      <c r="C1599" s="253" t="s">
        <v>1908</v>
      </c>
      <c r="D1599" s="254" t="s">
        <v>4</v>
      </c>
      <c r="E1599" s="1106">
        <v>0.25</v>
      </c>
      <c r="F1599" s="255">
        <f>'NC,M KS'!$P$39</f>
        <v>4438.2</v>
      </c>
      <c r="G1599" s="1107">
        <v>1</v>
      </c>
      <c r="H1599" s="256">
        <f t="shared" si="75"/>
        <v>1109.55</v>
      </c>
      <c r="I1599" s="1108"/>
      <c r="J1599" s="110" t="e">
        <f>J1583</f>
        <v>#REF!</v>
      </c>
    </row>
    <row r="1600" spans="1:10" s="257" customFormat="1" ht="17.100000000000001" customHeight="1">
      <c r="A1600" s="295" t="e">
        <f t="shared" si="72"/>
        <v>#REF!</v>
      </c>
      <c r="B1600" s="253"/>
      <c r="C1600" s="253" t="s">
        <v>130</v>
      </c>
      <c r="D1600" s="254" t="s">
        <v>126</v>
      </c>
      <c r="E1600" s="1106">
        <f>5</f>
        <v>5</v>
      </c>
      <c r="F1600" s="255"/>
      <c r="G1600" s="1107"/>
      <c r="H1600" s="256">
        <f>ROUND(SUM(H1596:H1599)*E1600/100,5)</f>
        <v>1703.8441399999999</v>
      </c>
      <c r="I1600" s="1108"/>
      <c r="J1600" s="110" t="e">
        <f>J1583</f>
        <v>#REF!</v>
      </c>
    </row>
    <row r="1601" spans="1:10" s="257" customFormat="1" ht="17.100000000000001" customHeight="1">
      <c r="A1601" s="295" t="e">
        <f t="shared" si="72"/>
        <v>#REF!</v>
      </c>
      <c r="B1601" s="253"/>
      <c r="C1601" s="170" t="s">
        <v>556</v>
      </c>
      <c r="D1601" s="171" t="s">
        <v>136</v>
      </c>
      <c r="E1601" s="172" t="s">
        <v>205</v>
      </c>
      <c r="F1601" s="53"/>
      <c r="G1601" s="117"/>
      <c r="H1601" s="173" t="e">
        <f>ROUND(H1584+H1593+H1595,5)</f>
        <v>#REF!</v>
      </c>
      <c r="I1601" s="1108"/>
      <c r="J1601" s="110" t="e">
        <f>J1583</f>
        <v>#REF!</v>
      </c>
    </row>
    <row r="1602" spans="1:10" s="257" customFormat="1" ht="17.100000000000001" customHeight="1">
      <c r="A1602" s="295" t="e">
        <f t="shared" si="72"/>
        <v>#REF!</v>
      </c>
      <c r="B1602" s="253"/>
      <c r="C1602" s="170" t="s">
        <v>557</v>
      </c>
      <c r="D1602" s="171" t="s">
        <v>204</v>
      </c>
      <c r="E1602" s="172" t="s">
        <v>558</v>
      </c>
      <c r="F1602" s="53"/>
      <c r="G1602" s="117"/>
      <c r="H1602" s="173" t="e">
        <f>SUM(H1603:H1604)</f>
        <v>#REF!</v>
      </c>
      <c r="I1602" s="1108"/>
      <c r="J1602" s="110" t="e">
        <f>J1583</f>
        <v>#REF!</v>
      </c>
    </row>
    <row r="1603" spans="1:10" s="257" customFormat="1" ht="17.100000000000001" customHeight="1">
      <c r="A1603" s="295" t="e">
        <f t="shared" si="72"/>
        <v>#REF!</v>
      </c>
      <c r="B1603" s="253"/>
      <c r="C1603" s="51" t="s">
        <v>426</v>
      </c>
      <c r="D1603" s="52" t="s">
        <v>559</v>
      </c>
      <c r="E1603" s="116">
        <f>cpc</f>
        <v>0.7</v>
      </c>
      <c r="F1603" s="174"/>
      <c r="G1603" s="175"/>
      <c r="H1603" s="54">
        <f>E1603*H1592</f>
        <v>30684.013499999997</v>
      </c>
      <c r="I1603" s="1108"/>
      <c r="J1603" s="110" t="e">
        <f>J1583</f>
        <v>#REF!</v>
      </c>
    </row>
    <row r="1604" spans="1:10" s="257" customFormat="1" ht="30">
      <c r="A1604" s="295" t="e">
        <f t="shared" si="72"/>
        <v>#REF!</v>
      </c>
      <c r="B1604" s="253"/>
      <c r="C1604" s="78" t="s">
        <v>560</v>
      </c>
      <c r="D1604" s="79" t="s">
        <v>561</v>
      </c>
      <c r="E1604" s="176">
        <f>hmc</f>
        <v>0.05</v>
      </c>
      <c r="F1604" s="53"/>
      <c r="G1604" s="113"/>
      <c r="H1604" s="54" t="e">
        <f>E1604*H1601</f>
        <v>#REF!</v>
      </c>
      <c r="I1604" s="1108"/>
      <c r="J1604" s="715" t="e">
        <f>J1583</f>
        <v>#REF!</v>
      </c>
    </row>
    <row r="1605" spans="1:10" s="257" customFormat="1" ht="17.100000000000001" customHeight="1">
      <c r="A1605" s="295" t="e">
        <f t="shared" si="72"/>
        <v>#REF!</v>
      </c>
      <c r="B1605" s="253"/>
      <c r="C1605" s="170" t="s">
        <v>562</v>
      </c>
      <c r="D1605" s="171" t="s">
        <v>563</v>
      </c>
      <c r="E1605" s="179">
        <f>tn</f>
        <v>0.06</v>
      </c>
      <c r="F1605" s="177"/>
      <c r="G1605" s="178"/>
      <c r="H1605" s="181" t="e">
        <f>SUM(H1601:H1602)*E1605</f>
        <v>#REF!</v>
      </c>
      <c r="I1605" s="1108"/>
      <c r="J1605" s="715" t="e">
        <f>J1583</f>
        <v>#REF!</v>
      </c>
    </row>
    <row r="1606" spans="1:10" s="257" customFormat="1" ht="17.100000000000001" customHeight="1">
      <c r="A1606" s="295" t="e">
        <f t="shared" si="72"/>
        <v>#REF!</v>
      </c>
      <c r="B1606" s="253"/>
      <c r="C1606" s="92" t="s">
        <v>1879</v>
      </c>
      <c r="D1606" s="171" t="s">
        <v>227</v>
      </c>
      <c r="E1606" s="180" t="s">
        <v>564</v>
      </c>
      <c r="F1606" s="174"/>
      <c r="G1606" s="175"/>
      <c r="H1606" s="173" t="e">
        <f>SUM(H1607:H1608)</f>
        <v>#REF!</v>
      </c>
      <c r="I1606" s="1108"/>
      <c r="J1606" s="715" t="e">
        <f>J1583</f>
        <v>#REF!</v>
      </c>
    </row>
    <row r="1607" spans="1:10" s="257" customFormat="1" ht="17.100000000000001" customHeight="1">
      <c r="A1607" s="295" t="e">
        <f t="shared" si="72"/>
        <v>#REF!</v>
      </c>
      <c r="B1607" s="253"/>
      <c r="C1607" s="51" t="s">
        <v>427</v>
      </c>
      <c r="D1607" s="52" t="s">
        <v>428</v>
      </c>
      <c r="E1607" s="1093">
        <f>paks</f>
        <v>0</v>
      </c>
      <c r="F1607" s="174"/>
      <c r="G1607" s="175"/>
      <c r="H1607" s="54" t="e">
        <f>(H1601+H1602+H1605)*E1607</f>
        <v>#REF!</v>
      </c>
      <c r="I1607" s="1108"/>
      <c r="J1607" s="715" t="e">
        <f>J1583</f>
        <v>#REF!</v>
      </c>
    </row>
    <row r="1608" spans="1:10" s="257" customFormat="1" ht="17.100000000000001" customHeight="1">
      <c r="A1608" s="295" t="e">
        <f t="shared" si="72"/>
        <v>#REF!</v>
      </c>
      <c r="B1608" s="253"/>
      <c r="C1608" s="51" t="s">
        <v>429</v>
      </c>
      <c r="D1608" s="52" t="s">
        <v>430</v>
      </c>
      <c r="E1608" s="1093">
        <f>bcks</f>
        <v>0.03</v>
      </c>
      <c r="F1608" s="53"/>
      <c r="G1608" s="113"/>
      <c r="H1608" s="54" t="e">
        <f>(H1601+H1602+H1605)*E1608</f>
        <v>#REF!</v>
      </c>
      <c r="I1608" s="1108"/>
      <c r="J1608" s="715" t="e">
        <f>J1583</f>
        <v>#REF!</v>
      </c>
    </row>
    <row r="1609" spans="1:10" s="257" customFormat="1" ht="17.100000000000001" customHeight="1">
      <c r="A1609" s="295" t="e">
        <f t="shared" si="72"/>
        <v>#REF!</v>
      </c>
      <c r="B1609" s="253"/>
      <c r="C1609" s="170" t="s">
        <v>565</v>
      </c>
      <c r="D1609" s="171" t="s">
        <v>218</v>
      </c>
      <c r="E1609" s="172" t="s">
        <v>566</v>
      </c>
      <c r="F1609" s="53"/>
      <c r="G1609" s="113"/>
      <c r="H1609" s="173" t="e">
        <f>H1601+H1602+H1605+H1606</f>
        <v>#REF!</v>
      </c>
      <c r="I1609" s="1108"/>
      <c r="J1609" s="715" t="e">
        <f>J1583</f>
        <v>#REF!</v>
      </c>
    </row>
    <row r="1610" spans="1:10" s="257" customFormat="1" ht="17.100000000000001" customHeight="1">
      <c r="A1610" s="295" t="e">
        <f t="shared" si="72"/>
        <v>#REF!</v>
      </c>
      <c r="B1610" s="253"/>
      <c r="C1610" s="51" t="s">
        <v>567</v>
      </c>
      <c r="D1610" s="52" t="s">
        <v>222</v>
      </c>
      <c r="E1610" s="112" t="s">
        <v>1917</v>
      </c>
      <c r="F1610" s="174"/>
      <c r="G1610" s="175"/>
      <c r="H1610" s="54" t="e">
        <f>ROUND(H1609*10/100,5)</f>
        <v>#REF!</v>
      </c>
      <c r="I1610" s="1108"/>
      <c r="J1610" s="715" t="e">
        <f>J1583</f>
        <v>#REF!</v>
      </c>
    </row>
    <row r="1611" spans="1:10" s="257" customFormat="1" ht="17.100000000000001" customHeight="1">
      <c r="A1611" s="295" t="e">
        <f t="shared" si="72"/>
        <v>#REF!</v>
      </c>
      <c r="B1611" s="1123"/>
      <c r="C1611" s="170" t="s">
        <v>568</v>
      </c>
      <c r="D1611" s="171" t="s">
        <v>225</v>
      </c>
      <c r="E1611" s="172" t="s">
        <v>192</v>
      </c>
      <c r="F1611" s="53"/>
      <c r="G1611" s="117"/>
      <c r="H1611" s="56" t="e">
        <f>ROUND(H1609+H1610,5)</f>
        <v>#REF!</v>
      </c>
      <c r="I1611" s="1124"/>
      <c r="J1611" s="715" t="e">
        <f>J1583</f>
        <v>#REF!</v>
      </c>
    </row>
    <row r="1612" spans="1:10" s="55" customFormat="1" ht="17.100000000000001" customHeight="1" thickBot="1">
      <c r="A1612" s="860" t="s">
        <v>0</v>
      </c>
      <c r="B1612" s="58"/>
      <c r="C1612" s="58" t="s">
        <v>0</v>
      </c>
      <c r="D1612" s="59" t="s">
        <v>0</v>
      </c>
      <c r="E1612" s="127"/>
      <c r="F1612" s="60"/>
      <c r="G1612" s="169"/>
      <c r="H1612" s="61"/>
      <c r="I1612" s="114"/>
      <c r="J1612" s="715" t="e">
        <f>J1583</f>
        <v>#REF!</v>
      </c>
    </row>
    <row r="1613" spans="1:10">
      <c r="J1613" s="715" t="e">
        <f>J1583</f>
        <v>#REF!</v>
      </c>
    </row>
    <row r="1614" spans="1:10">
      <c r="J1614" s="715" t="e">
        <f>J1583</f>
        <v>#REF!</v>
      </c>
    </row>
    <row r="1615" spans="1:10">
      <c r="J1615" s="715" t="e">
        <f>J1583</f>
        <v>#REF!</v>
      </c>
    </row>
    <row r="1616" spans="1:10">
      <c r="J1616" s="716"/>
    </row>
    <row r="1617" spans="10:10">
      <c r="J1617" s="716"/>
    </row>
    <row r="1618" spans="10:10">
      <c r="J1618" s="716"/>
    </row>
  </sheetData>
  <autoFilter ref="A6:J1612" xr:uid="{00000000-0009-0000-0000-0000F8000000}">
    <filterColumn colId="9">
      <customFilters>
        <customFilter operator="notEqual" val=" "/>
      </customFilters>
    </filterColumn>
  </autoFilter>
  <mergeCells count="4">
    <mergeCell ref="A1:H1"/>
    <mergeCell ref="A2:H2"/>
    <mergeCell ref="A3:H3"/>
    <mergeCell ref="A4:H4"/>
  </mergeCells>
  <phoneticPr fontId="18" type="noConversion"/>
  <pageMargins left="0.72" right="0.2" top="0.47" bottom="0.36" header="0.59" footer="0.38"/>
  <pageSetup paperSize="9" scale="85" orientation="portrait" verticalDpi="0" r:id="rId1"/>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556A2-4E31-479A-A0F7-277825CAC3C2}">
  <sheetPr>
    <tabColor rgb="FF00B050"/>
  </sheetPr>
  <dimension ref="A1:Q72"/>
  <sheetViews>
    <sheetView showZeros="0" topLeftCell="A31" workbookViewId="0">
      <selection activeCell="Q58" sqref="Q58"/>
    </sheetView>
  </sheetViews>
  <sheetFormatPr defaultRowHeight="14.25"/>
  <cols>
    <col min="1" max="1" width="3.625" style="8" customWidth="1"/>
    <col min="2" max="2" width="27" style="8" bestFit="1" customWidth="1"/>
    <col min="3" max="3" width="4.125" style="8" customWidth="1"/>
    <col min="4" max="4" width="13.625" style="8" customWidth="1"/>
    <col min="5" max="5" width="10.375" style="8" customWidth="1"/>
    <col min="6" max="9" width="3.5" style="161" customWidth="1"/>
    <col min="10" max="10" width="7" style="9" customWidth="1"/>
    <col min="11" max="13" width="4.375" style="47" customWidth="1"/>
    <col min="14" max="15" width="9.375" style="9" customWidth="1"/>
    <col min="16" max="17" width="10.875" style="9" customWidth="1"/>
    <col min="18" max="16384" width="9" style="8"/>
  </cols>
  <sheetData>
    <row r="1" spans="1:17" ht="21" customHeight="1">
      <c r="A1" s="1184" t="s">
        <v>167</v>
      </c>
      <c r="B1" s="1184"/>
      <c r="C1" s="1184"/>
      <c r="D1" s="1184"/>
      <c r="E1" s="1184"/>
      <c r="F1" s="1184"/>
      <c r="G1" s="1184"/>
      <c r="H1" s="1184"/>
      <c r="I1" s="1184"/>
      <c r="J1" s="1184"/>
      <c r="K1" s="1184"/>
      <c r="L1" s="1184"/>
      <c r="M1" s="1184"/>
      <c r="N1" s="1184"/>
      <c r="O1" s="1184"/>
      <c r="P1" s="1184"/>
      <c r="Q1" s="1184"/>
    </row>
    <row r="2" spans="1:17" s="7" customFormat="1" ht="16.5" customHeight="1">
      <c r="A2" s="1183" t="s">
        <v>302</v>
      </c>
      <c r="B2" s="1183"/>
      <c r="C2" s="1183"/>
      <c r="D2" s="1183"/>
      <c r="E2" s="1183"/>
      <c r="F2" s="1183"/>
      <c r="G2" s="1183"/>
      <c r="H2" s="1183"/>
      <c r="I2" s="1183"/>
      <c r="J2" s="1183"/>
      <c r="K2" s="1183"/>
      <c r="L2" s="1183"/>
      <c r="M2" s="1183"/>
      <c r="N2" s="1183"/>
      <c r="O2" s="1183"/>
      <c r="P2" s="1183"/>
      <c r="Q2" s="1183"/>
    </row>
    <row r="3" spans="1:17" s="7" customFormat="1" ht="16.5" customHeight="1">
      <c r="A3" s="1183" t="s">
        <v>303</v>
      </c>
      <c r="B3" s="1183"/>
      <c r="C3" s="1183"/>
      <c r="D3" s="1183"/>
      <c r="E3" s="1183"/>
      <c r="F3" s="1183"/>
      <c r="G3" s="1183"/>
      <c r="H3" s="1183"/>
      <c r="I3" s="1183"/>
      <c r="J3" s="1183"/>
      <c r="K3" s="1183"/>
      <c r="L3" s="1183"/>
      <c r="M3" s="1183"/>
      <c r="N3" s="1183"/>
      <c r="O3" s="1183"/>
      <c r="P3" s="1183"/>
      <c r="Q3" s="1183"/>
    </row>
    <row r="4" spans="1:17" s="7" customFormat="1" ht="16.5" customHeight="1">
      <c r="A4" s="1183" t="s">
        <v>304</v>
      </c>
      <c r="B4" s="1183"/>
      <c r="C4" s="1183"/>
      <c r="D4" s="1183"/>
      <c r="E4" s="1183"/>
      <c r="F4" s="1183"/>
      <c r="G4" s="1183"/>
      <c r="H4" s="1183"/>
      <c r="I4" s="1183"/>
      <c r="J4" s="1183"/>
      <c r="K4" s="1183"/>
      <c r="L4" s="1183"/>
      <c r="M4" s="1183"/>
      <c r="N4" s="1183"/>
      <c r="O4" s="1183"/>
      <c r="P4" s="1183"/>
      <c r="Q4" s="1183"/>
    </row>
    <row r="5" spans="1:17" ht="15" thickBot="1">
      <c r="A5" s="10"/>
      <c r="B5" s="10"/>
      <c r="C5" s="10"/>
      <c r="D5" s="10"/>
      <c r="E5" s="10"/>
      <c r="F5" s="131"/>
      <c r="G5" s="131"/>
      <c r="H5" s="131"/>
      <c r="I5" s="131"/>
      <c r="J5" s="11"/>
      <c r="K5" s="48"/>
      <c r="L5" s="48"/>
      <c r="M5" s="48"/>
      <c r="N5" s="11"/>
      <c r="O5" s="11"/>
      <c r="P5" s="11"/>
      <c r="Q5" s="11"/>
    </row>
    <row r="6" spans="1:17" ht="45" customHeight="1">
      <c r="A6" s="132" t="s">
        <v>136</v>
      </c>
      <c r="B6" s="133" t="s">
        <v>168</v>
      </c>
      <c r="C6" s="134" t="s">
        <v>142</v>
      </c>
      <c r="D6" s="133" t="s">
        <v>135</v>
      </c>
      <c r="E6" s="133" t="s">
        <v>169</v>
      </c>
      <c r="F6" s="135" t="s">
        <v>170</v>
      </c>
      <c r="G6" s="135" t="s">
        <v>171</v>
      </c>
      <c r="H6" s="135" t="s">
        <v>172</v>
      </c>
      <c r="I6" s="135" t="s">
        <v>173</v>
      </c>
      <c r="J6" s="136" t="s">
        <v>174</v>
      </c>
      <c r="K6" s="137" t="s">
        <v>539</v>
      </c>
      <c r="L6" s="137" t="s">
        <v>175</v>
      </c>
      <c r="M6" s="137" t="s">
        <v>540</v>
      </c>
      <c r="N6" s="138" t="s">
        <v>176</v>
      </c>
      <c r="O6" s="138" t="s">
        <v>541</v>
      </c>
      <c r="P6" s="139" t="s">
        <v>177</v>
      </c>
      <c r="Q6" s="140" t="s">
        <v>178</v>
      </c>
    </row>
    <row r="7" spans="1:17">
      <c r="A7" s="141" t="s">
        <v>0</v>
      </c>
      <c r="B7" s="142" t="s">
        <v>0</v>
      </c>
      <c r="C7" s="142" t="s">
        <v>0</v>
      </c>
      <c r="D7" s="142" t="s">
        <v>0</v>
      </c>
      <c r="E7" s="142" t="s">
        <v>0</v>
      </c>
      <c r="F7" s="143" t="s">
        <v>0</v>
      </c>
      <c r="G7" s="143" t="s">
        <v>0</v>
      </c>
      <c r="H7" s="143" t="s">
        <v>0</v>
      </c>
      <c r="I7" s="143" t="s">
        <v>0</v>
      </c>
      <c r="J7" s="144"/>
      <c r="K7" s="145"/>
      <c r="L7" s="145"/>
      <c r="M7" s="145"/>
      <c r="N7" s="144"/>
      <c r="O7" s="144"/>
      <c r="P7" s="144"/>
      <c r="Q7" s="146">
        <v>0</v>
      </c>
    </row>
    <row r="8" spans="1:17">
      <c r="A8" s="147" t="s">
        <v>1</v>
      </c>
      <c r="B8" s="148" t="s">
        <v>487</v>
      </c>
      <c r="C8" s="148" t="s">
        <v>82</v>
      </c>
      <c r="D8" s="148" t="s">
        <v>0</v>
      </c>
      <c r="E8" s="148" t="s">
        <v>0</v>
      </c>
      <c r="F8" s="149" t="s">
        <v>0</v>
      </c>
      <c r="G8" s="149" t="s">
        <v>0</v>
      </c>
      <c r="H8" s="149" t="s">
        <v>0</v>
      </c>
      <c r="I8" s="149" t="s">
        <v>542</v>
      </c>
      <c r="J8" s="150"/>
      <c r="K8" s="151"/>
      <c r="L8" s="151"/>
      <c r="M8" s="151"/>
      <c r="N8" s="152"/>
      <c r="O8" s="152"/>
      <c r="P8" s="152">
        <v>78760</v>
      </c>
      <c r="Q8" s="153">
        <f t="shared" ref="Q8:Q71" si="0">N8+O8+P8</f>
        <v>78760</v>
      </c>
    </row>
    <row r="9" spans="1:17">
      <c r="A9" s="147" t="s">
        <v>5</v>
      </c>
      <c r="B9" s="148" t="s">
        <v>478</v>
      </c>
      <c r="C9" s="148" t="s">
        <v>82</v>
      </c>
      <c r="D9" s="148" t="s">
        <v>0</v>
      </c>
      <c r="E9" s="148" t="s">
        <v>0</v>
      </c>
      <c r="F9" s="149" t="s">
        <v>0</v>
      </c>
      <c r="G9" s="149" t="s">
        <v>0</v>
      </c>
      <c r="H9" s="149" t="s">
        <v>0</v>
      </c>
      <c r="I9" s="149" t="s">
        <v>542</v>
      </c>
      <c r="J9" s="150"/>
      <c r="K9" s="151"/>
      <c r="L9" s="151"/>
      <c r="M9" s="151"/>
      <c r="N9" s="152"/>
      <c r="O9" s="152"/>
      <c r="P9" s="152">
        <v>15000</v>
      </c>
      <c r="Q9" s="153">
        <f t="shared" si="0"/>
        <v>15000</v>
      </c>
    </row>
    <row r="10" spans="1:17">
      <c r="A10" s="147" t="s">
        <v>8</v>
      </c>
      <c r="B10" s="148" t="s">
        <v>450</v>
      </c>
      <c r="C10" s="148" t="s">
        <v>451</v>
      </c>
      <c r="D10" s="148" t="s">
        <v>0</v>
      </c>
      <c r="E10" s="148" t="s">
        <v>0</v>
      </c>
      <c r="F10" s="149" t="s">
        <v>0</v>
      </c>
      <c r="G10" s="149" t="s">
        <v>0</v>
      </c>
      <c r="H10" s="149" t="s">
        <v>0</v>
      </c>
      <c r="I10" s="149" t="s">
        <v>542</v>
      </c>
      <c r="J10" s="150"/>
      <c r="K10" s="151"/>
      <c r="L10" s="151"/>
      <c r="M10" s="151"/>
      <c r="N10" s="152"/>
      <c r="O10" s="152"/>
      <c r="P10" s="152">
        <v>180000</v>
      </c>
      <c r="Q10" s="153">
        <f t="shared" si="0"/>
        <v>180000</v>
      </c>
    </row>
    <row r="11" spans="1:17">
      <c r="A11" s="147" t="s">
        <v>10</v>
      </c>
      <c r="B11" s="148" t="s">
        <v>467</v>
      </c>
      <c r="C11" s="148" t="s">
        <v>451</v>
      </c>
      <c r="D11" s="148" t="s">
        <v>0</v>
      </c>
      <c r="E11" s="148" t="s">
        <v>0</v>
      </c>
      <c r="F11" s="149" t="s">
        <v>0</v>
      </c>
      <c r="G11" s="149" t="s">
        <v>0</v>
      </c>
      <c r="H11" s="149" t="s">
        <v>0</v>
      </c>
      <c r="I11" s="149" t="s">
        <v>542</v>
      </c>
      <c r="J11" s="150"/>
      <c r="K11" s="151"/>
      <c r="L11" s="151"/>
      <c r="M11" s="151"/>
      <c r="N11" s="152"/>
      <c r="O11" s="152"/>
      <c r="P11" s="152">
        <v>1500000</v>
      </c>
      <c r="Q11" s="153">
        <f t="shared" si="0"/>
        <v>1500000</v>
      </c>
    </row>
    <row r="12" spans="1:17">
      <c r="A12" s="147" t="s">
        <v>11</v>
      </c>
      <c r="B12" s="148" t="s">
        <v>458</v>
      </c>
      <c r="C12" s="148" t="s">
        <v>451</v>
      </c>
      <c r="D12" s="148" t="s">
        <v>0</v>
      </c>
      <c r="E12" s="148" t="s">
        <v>0</v>
      </c>
      <c r="F12" s="149" t="s">
        <v>0</v>
      </c>
      <c r="G12" s="149" t="s">
        <v>0</v>
      </c>
      <c r="H12" s="149" t="s">
        <v>0</v>
      </c>
      <c r="I12" s="149" t="s">
        <v>542</v>
      </c>
      <c r="J12" s="150"/>
      <c r="K12" s="151"/>
      <c r="L12" s="151"/>
      <c r="M12" s="151"/>
      <c r="N12" s="152"/>
      <c r="O12" s="152"/>
      <c r="P12" s="152">
        <v>600000</v>
      </c>
      <c r="Q12" s="153">
        <f t="shared" si="0"/>
        <v>600000</v>
      </c>
    </row>
    <row r="13" spans="1:17">
      <c r="A13" s="147" t="s">
        <v>12</v>
      </c>
      <c r="B13" s="148" t="s">
        <v>505</v>
      </c>
      <c r="C13" s="148" t="s">
        <v>82</v>
      </c>
      <c r="D13" s="148" t="s">
        <v>0</v>
      </c>
      <c r="E13" s="148" t="s">
        <v>0</v>
      </c>
      <c r="F13" s="149" t="s">
        <v>0</v>
      </c>
      <c r="G13" s="149" t="s">
        <v>0</v>
      </c>
      <c r="H13" s="149" t="s">
        <v>0</v>
      </c>
      <c r="I13" s="149" t="s">
        <v>542</v>
      </c>
      <c r="J13" s="150"/>
      <c r="K13" s="151"/>
      <c r="L13" s="151"/>
      <c r="M13" s="151"/>
      <c r="N13" s="152"/>
      <c r="O13" s="152"/>
      <c r="P13" s="152">
        <v>250000</v>
      </c>
      <c r="Q13" s="153">
        <f t="shared" si="0"/>
        <v>250000</v>
      </c>
    </row>
    <row r="14" spans="1:17">
      <c r="A14" s="147" t="s">
        <v>13</v>
      </c>
      <c r="B14" s="148" t="s">
        <v>518</v>
      </c>
      <c r="C14" s="148" t="s">
        <v>82</v>
      </c>
      <c r="D14" s="148" t="s">
        <v>0</v>
      </c>
      <c r="E14" s="148" t="s">
        <v>0</v>
      </c>
      <c r="F14" s="149" t="s">
        <v>0</v>
      </c>
      <c r="G14" s="149" t="s">
        <v>0</v>
      </c>
      <c r="H14" s="149" t="s">
        <v>0</v>
      </c>
      <c r="I14" s="149" t="s">
        <v>542</v>
      </c>
      <c r="J14" s="150"/>
      <c r="K14" s="151"/>
      <c r="L14" s="151"/>
      <c r="M14" s="151"/>
      <c r="N14" s="152"/>
      <c r="O14" s="152"/>
      <c r="P14" s="152">
        <v>15000</v>
      </c>
      <c r="Q14" s="153">
        <f t="shared" si="0"/>
        <v>15000</v>
      </c>
    </row>
    <row r="15" spans="1:17">
      <c r="A15" s="147" t="s">
        <v>14</v>
      </c>
      <c r="B15" s="148" t="s">
        <v>519</v>
      </c>
      <c r="C15" s="148" t="s">
        <v>82</v>
      </c>
      <c r="D15" s="148" t="s">
        <v>0</v>
      </c>
      <c r="E15" s="148" t="s">
        <v>0</v>
      </c>
      <c r="F15" s="149" t="s">
        <v>0</v>
      </c>
      <c r="G15" s="149" t="s">
        <v>0</v>
      </c>
      <c r="H15" s="149" t="s">
        <v>0</v>
      </c>
      <c r="I15" s="149" t="s">
        <v>542</v>
      </c>
      <c r="J15" s="150"/>
      <c r="K15" s="151"/>
      <c r="L15" s="151"/>
      <c r="M15" s="151"/>
      <c r="N15" s="152"/>
      <c r="O15" s="152"/>
      <c r="P15" s="152">
        <v>28000</v>
      </c>
      <c r="Q15" s="153">
        <f t="shared" si="0"/>
        <v>28000</v>
      </c>
    </row>
    <row r="16" spans="1:17">
      <c r="A16" s="147" t="s">
        <v>15</v>
      </c>
      <c r="B16" s="148" t="s">
        <v>506</v>
      </c>
      <c r="C16" s="148" t="s">
        <v>82</v>
      </c>
      <c r="D16" s="148" t="s">
        <v>0</v>
      </c>
      <c r="E16" s="148" t="s">
        <v>0</v>
      </c>
      <c r="F16" s="149" t="s">
        <v>0</v>
      </c>
      <c r="G16" s="149" t="s">
        <v>0</v>
      </c>
      <c r="H16" s="149" t="s">
        <v>0</v>
      </c>
      <c r="I16" s="149" t="s">
        <v>542</v>
      </c>
      <c r="J16" s="150"/>
      <c r="K16" s="151"/>
      <c r="L16" s="151"/>
      <c r="M16" s="151"/>
      <c r="N16" s="152"/>
      <c r="O16" s="152"/>
      <c r="P16" s="152">
        <v>25000</v>
      </c>
      <c r="Q16" s="153">
        <f t="shared" si="0"/>
        <v>25000</v>
      </c>
    </row>
    <row r="17" spans="1:17">
      <c r="A17" s="147" t="s">
        <v>16</v>
      </c>
      <c r="B17" s="148" t="s">
        <v>520</v>
      </c>
      <c r="C17" s="148" t="s">
        <v>82</v>
      </c>
      <c r="D17" s="148" t="s">
        <v>0</v>
      </c>
      <c r="E17" s="148" t="s">
        <v>0</v>
      </c>
      <c r="F17" s="149" t="s">
        <v>0</v>
      </c>
      <c r="G17" s="149" t="s">
        <v>0</v>
      </c>
      <c r="H17" s="149" t="s">
        <v>0</v>
      </c>
      <c r="I17" s="149" t="s">
        <v>542</v>
      </c>
      <c r="J17" s="150"/>
      <c r="K17" s="151"/>
      <c r="L17" s="151"/>
      <c r="M17" s="151"/>
      <c r="N17" s="152"/>
      <c r="O17" s="152"/>
      <c r="P17" s="152">
        <v>3000</v>
      </c>
      <c r="Q17" s="153">
        <f t="shared" si="0"/>
        <v>3000</v>
      </c>
    </row>
    <row r="18" spans="1:17">
      <c r="A18" s="147" t="s">
        <v>17</v>
      </c>
      <c r="B18" s="148" t="s">
        <v>489</v>
      </c>
      <c r="C18" s="148" t="s">
        <v>82</v>
      </c>
      <c r="D18" s="148" t="s">
        <v>0</v>
      </c>
      <c r="E18" s="148" t="s">
        <v>0</v>
      </c>
      <c r="F18" s="149" t="s">
        <v>0</v>
      </c>
      <c r="G18" s="149" t="s">
        <v>0</v>
      </c>
      <c r="H18" s="149" t="s">
        <v>0</v>
      </c>
      <c r="I18" s="149" t="s">
        <v>542</v>
      </c>
      <c r="J18" s="150"/>
      <c r="K18" s="151"/>
      <c r="L18" s="151"/>
      <c r="M18" s="151"/>
      <c r="N18" s="152"/>
      <c r="O18" s="152"/>
      <c r="P18" s="152">
        <v>40000</v>
      </c>
      <c r="Q18" s="153">
        <f t="shared" si="0"/>
        <v>40000</v>
      </c>
    </row>
    <row r="19" spans="1:17">
      <c r="A19" s="147" t="s">
        <v>18</v>
      </c>
      <c r="B19" s="148" t="s">
        <v>454</v>
      </c>
      <c r="C19" s="148" t="s">
        <v>129</v>
      </c>
      <c r="D19" s="148" t="s">
        <v>0</v>
      </c>
      <c r="E19" s="148" t="s">
        <v>0</v>
      </c>
      <c r="F19" s="149" t="s">
        <v>0</v>
      </c>
      <c r="G19" s="149" t="s">
        <v>0</v>
      </c>
      <c r="H19" s="149" t="s">
        <v>0</v>
      </c>
      <c r="I19" s="149" t="s">
        <v>542</v>
      </c>
      <c r="J19" s="150"/>
      <c r="K19" s="151"/>
      <c r="L19" s="151"/>
      <c r="M19" s="151"/>
      <c r="N19" s="152"/>
      <c r="O19" s="152"/>
      <c r="P19" s="152">
        <v>10000</v>
      </c>
      <c r="Q19" s="153">
        <f t="shared" si="0"/>
        <v>10000</v>
      </c>
    </row>
    <row r="20" spans="1:17">
      <c r="A20" s="147" t="s">
        <v>19</v>
      </c>
      <c r="B20" s="148" t="s">
        <v>491</v>
      </c>
      <c r="C20" s="148" t="s">
        <v>59</v>
      </c>
      <c r="D20" s="148" t="s">
        <v>0</v>
      </c>
      <c r="E20" s="148" t="s">
        <v>0</v>
      </c>
      <c r="F20" s="149" t="s">
        <v>0</v>
      </c>
      <c r="G20" s="149" t="s">
        <v>0</v>
      </c>
      <c r="H20" s="149" t="s">
        <v>0</v>
      </c>
      <c r="I20" s="149" t="s">
        <v>542</v>
      </c>
      <c r="J20" s="150"/>
      <c r="K20" s="151"/>
      <c r="L20" s="151"/>
      <c r="M20" s="151"/>
      <c r="N20" s="152"/>
      <c r="O20" s="152"/>
      <c r="P20" s="152">
        <v>43887000</v>
      </c>
      <c r="Q20" s="153">
        <f t="shared" si="0"/>
        <v>43887000</v>
      </c>
    </row>
    <row r="21" spans="1:17">
      <c r="A21" s="147" t="s">
        <v>20</v>
      </c>
      <c r="B21" s="148" t="s">
        <v>27</v>
      </c>
      <c r="C21" s="148" t="s">
        <v>7</v>
      </c>
      <c r="D21" s="148" t="s">
        <v>0</v>
      </c>
      <c r="E21" s="148" t="s">
        <v>0</v>
      </c>
      <c r="F21" s="149" t="s">
        <v>0</v>
      </c>
      <c r="G21" s="149" t="s">
        <v>0</v>
      </c>
      <c r="H21" s="149" t="s">
        <v>0</v>
      </c>
      <c r="I21" s="149" t="s">
        <v>542</v>
      </c>
      <c r="J21" s="150"/>
      <c r="K21" s="151"/>
      <c r="L21" s="151"/>
      <c r="M21" s="151"/>
      <c r="N21" s="152"/>
      <c r="O21" s="152"/>
      <c r="P21" s="152">
        <v>70000</v>
      </c>
      <c r="Q21" s="153">
        <f t="shared" si="0"/>
        <v>70000</v>
      </c>
    </row>
    <row r="22" spans="1:17">
      <c r="A22" s="147" t="s">
        <v>21</v>
      </c>
      <c r="B22" s="148" t="s">
        <v>438</v>
      </c>
      <c r="C22" s="148" t="s">
        <v>439</v>
      </c>
      <c r="D22" s="148" t="s">
        <v>0</v>
      </c>
      <c r="E22" s="148" t="s">
        <v>0</v>
      </c>
      <c r="F22" s="149" t="s">
        <v>0</v>
      </c>
      <c r="G22" s="149" t="s">
        <v>0</v>
      </c>
      <c r="H22" s="149" t="s">
        <v>0</v>
      </c>
      <c r="I22" s="149" t="s">
        <v>542</v>
      </c>
      <c r="J22" s="150"/>
      <c r="K22" s="151"/>
      <c r="L22" s="151"/>
      <c r="M22" s="151"/>
      <c r="N22" s="152"/>
      <c r="O22" s="152"/>
      <c r="P22" s="152">
        <v>5000</v>
      </c>
      <c r="Q22" s="153">
        <f t="shared" si="0"/>
        <v>5000</v>
      </c>
    </row>
    <row r="23" spans="1:17">
      <c r="A23" s="147" t="s">
        <v>23</v>
      </c>
      <c r="B23" s="148" t="s">
        <v>438</v>
      </c>
      <c r="C23" s="148" t="s">
        <v>439</v>
      </c>
      <c r="D23" s="148" t="s">
        <v>0</v>
      </c>
      <c r="E23" s="148" t="s">
        <v>0</v>
      </c>
      <c r="F23" s="149" t="s">
        <v>0</v>
      </c>
      <c r="G23" s="149" t="s">
        <v>0</v>
      </c>
      <c r="H23" s="149" t="s">
        <v>0</v>
      </c>
      <c r="I23" s="149" t="s">
        <v>542</v>
      </c>
      <c r="J23" s="150"/>
      <c r="K23" s="151"/>
      <c r="L23" s="151"/>
      <c r="M23" s="151"/>
      <c r="N23" s="152"/>
      <c r="O23" s="152"/>
      <c r="P23" s="152">
        <v>5000</v>
      </c>
      <c r="Q23" s="153">
        <f t="shared" si="0"/>
        <v>5000</v>
      </c>
    </row>
    <row r="24" spans="1:17">
      <c r="A24" s="147" t="s">
        <v>31</v>
      </c>
      <c r="B24" s="148" t="s">
        <v>449</v>
      </c>
      <c r="C24" s="148" t="s">
        <v>129</v>
      </c>
      <c r="D24" s="148" t="s">
        <v>0</v>
      </c>
      <c r="E24" s="148" t="s">
        <v>0</v>
      </c>
      <c r="F24" s="149" t="s">
        <v>0</v>
      </c>
      <c r="G24" s="149" t="s">
        <v>0</v>
      </c>
      <c r="H24" s="149" t="s">
        <v>0</v>
      </c>
      <c r="I24" s="149" t="s">
        <v>542</v>
      </c>
      <c r="J24" s="150"/>
      <c r="K24" s="151"/>
      <c r="L24" s="151"/>
      <c r="M24" s="151"/>
      <c r="N24" s="152"/>
      <c r="O24" s="152"/>
      <c r="P24" s="152">
        <v>81818</v>
      </c>
      <c r="Q24" s="153">
        <f t="shared" si="0"/>
        <v>81818</v>
      </c>
    </row>
    <row r="25" spans="1:17">
      <c r="A25" s="147" t="s">
        <v>37</v>
      </c>
      <c r="B25" s="148" t="s">
        <v>500</v>
      </c>
      <c r="C25" s="148" t="s">
        <v>82</v>
      </c>
      <c r="D25" s="148" t="s">
        <v>0</v>
      </c>
      <c r="E25" s="148" t="s">
        <v>0</v>
      </c>
      <c r="F25" s="149" t="s">
        <v>0</v>
      </c>
      <c r="G25" s="149" t="s">
        <v>0</v>
      </c>
      <c r="H25" s="149" t="s">
        <v>0</v>
      </c>
      <c r="I25" s="149" t="s">
        <v>542</v>
      </c>
      <c r="J25" s="150"/>
      <c r="K25" s="151"/>
      <c r="L25" s="151"/>
      <c r="M25" s="151"/>
      <c r="N25" s="152"/>
      <c r="O25" s="152"/>
      <c r="P25" s="152">
        <v>100000</v>
      </c>
      <c r="Q25" s="153">
        <f t="shared" si="0"/>
        <v>100000</v>
      </c>
    </row>
    <row r="26" spans="1:17">
      <c r="A26" s="147" t="s">
        <v>42</v>
      </c>
      <c r="B26" s="148" t="s">
        <v>512</v>
      </c>
      <c r="C26" s="148" t="s">
        <v>451</v>
      </c>
      <c r="D26" s="148" t="s">
        <v>0</v>
      </c>
      <c r="E26" s="148" t="s">
        <v>0</v>
      </c>
      <c r="F26" s="149" t="s">
        <v>0</v>
      </c>
      <c r="G26" s="149" t="s">
        <v>0</v>
      </c>
      <c r="H26" s="149" t="s">
        <v>0</v>
      </c>
      <c r="I26" s="149" t="s">
        <v>542</v>
      </c>
      <c r="J26" s="150"/>
      <c r="K26" s="151"/>
      <c r="L26" s="151"/>
      <c r="M26" s="151"/>
      <c r="N26" s="152"/>
      <c r="O26" s="152"/>
      <c r="P26" s="152">
        <v>110000</v>
      </c>
      <c r="Q26" s="153">
        <f t="shared" si="0"/>
        <v>110000</v>
      </c>
    </row>
    <row r="27" spans="1:17">
      <c r="A27" s="147" t="s">
        <v>46</v>
      </c>
      <c r="B27" s="148" t="s">
        <v>515</v>
      </c>
      <c r="C27" s="148" t="s">
        <v>451</v>
      </c>
      <c r="D27" s="148" t="s">
        <v>0</v>
      </c>
      <c r="E27" s="148" t="s">
        <v>0</v>
      </c>
      <c r="F27" s="149" t="s">
        <v>0</v>
      </c>
      <c r="G27" s="149" t="s">
        <v>0</v>
      </c>
      <c r="H27" s="149" t="s">
        <v>0</v>
      </c>
      <c r="I27" s="149" t="s">
        <v>542</v>
      </c>
      <c r="J27" s="150"/>
      <c r="K27" s="151"/>
      <c r="L27" s="151"/>
      <c r="M27" s="151"/>
      <c r="N27" s="152"/>
      <c r="O27" s="152"/>
      <c r="P27" s="152">
        <v>150000</v>
      </c>
      <c r="Q27" s="153">
        <f t="shared" si="0"/>
        <v>150000</v>
      </c>
    </row>
    <row r="28" spans="1:17">
      <c r="A28" s="147" t="s">
        <v>50</v>
      </c>
      <c r="B28" s="148" t="s">
        <v>516</v>
      </c>
      <c r="C28" s="148" t="s">
        <v>451</v>
      </c>
      <c r="D28" s="148" t="s">
        <v>0</v>
      </c>
      <c r="E28" s="148" t="s">
        <v>0</v>
      </c>
      <c r="F28" s="149" t="s">
        <v>0</v>
      </c>
      <c r="G28" s="149" t="s">
        <v>0</v>
      </c>
      <c r="H28" s="149" t="s">
        <v>0</v>
      </c>
      <c r="I28" s="149" t="s">
        <v>542</v>
      </c>
      <c r="J28" s="150"/>
      <c r="K28" s="151"/>
      <c r="L28" s="151"/>
      <c r="M28" s="151"/>
      <c r="N28" s="152"/>
      <c r="O28" s="152"/>
      <c r="P28" s="152">
        <v>200000</v>
      </c>
      <c r="Q28" s="153">
        <f t="shared" si="0"/>
        <v>200000</v>
      </c>
    </row>
    <row r="29" spans="1:17">
      <c r="A29" s="147" t="s">
        <v>53</v>
      </c>
      <c r="B29" s="148" t="s">
        <v>490</v>
      </c>
      <c r="C29" s="148" t="s">
        <v>82</v>
      </c>
      <c r="D29" s="148" t="s">
        <v>0</v>
      </c>
      <c r="E29" s="148" t="s">
        <v>0</v>
      </c>
      <c r="F29" s="149" t="s">
        <v>0</v>
      </c>
      <c r="G29" s="149" t="s">
        <v>0</v>
      </c>
      <c r="H29" s="149" t="s">
        <v>0</v>
      </c>
      <c r="I29" s="149" t="s">
        <v>542</v>
      </c>
      <c r="J29" s="150"/>
      <c r="K29" s="151"/>
      <c r="L29" s="151"/>
      <c r="M29" s="151"/>
      <c r="N29" s="152"/>
      <c r="O29" s="152"/>
      <c r="P29" s="152">
        <v>10000</v>
      </c>
      <c r="Q29" s="153">
        <f t="shared" si="0"/>
        <v>10000</v>
      </c>
    </row>
    <row r="30" spans="1:17">
      <c r="A30" s="147" t="s">
        <v>56</v>
      </c>
      <c r="B30" s="148" t="s">
        <v>509</v>
      </c>
      <c r="C30" s="148" t="s">
        <v>82</v>
      </c>
      <c r="D30" s="148" t="s">
        <v>0</v>
      </c>
      <c r="E30" s="148" t="s">
        <v>0</v>
      </c>
      <c r="F30" s="149" t="s">
        <v>0</v>
      </c>
      <c r="G30" s="149" t="s">
        <v>0</v>
      </c>
      <c r="H30" s="149" t="s">
        <v>0</v>
      </c>
      <c r="I30" s="149" t="s">
        <v>542</v>
      </c>
      <c r="J30" s="150"/>
      <c r="K30" s="151"/>
      <c r="L30" s="151"/>
      <c r="M30" s="151"/>
      <c r="N30" s="152"/>
      <c r="O30" s="152"/>
      <c r="P30" s="152">
        <v>90000</v>
      </c>
      <c r="Q30" s="153">
        <f t="shared" si="0"/>
        <v>90000</v>
      </c>
    </row>
    <row r="31" spans="1:17">
      <c r="A31" s="147" t="s">
        <v>61</v>
      </c>
      <c r="B31" s="148" t="s">
        <v>477</v>
      </c>
      <c r="C31" s="148" t="s">
        <v>129</v>
      </c>
      <c r="D31" s="148" t="s">
        <v>0</v>
      </c>
      <c r="E31" s="148" t="s">
        <v>0</v>
      </c>
      <c r="F31" s="149" t="s">
        <v>0</v>
      </c>
      <c r="G31" s="149" t="s">
        <v>0</v>
      </c>
      <c r="H31" s="149" t="s">
        <v>0</v>
      </c>
      <c r="I31" s="149" t="s">
        <v>542</v>
      </c>
      <c r="J31" s="150"/>
      <c r="K31" s="151"/>
      <c r="L31" s="151"/>
      <c r="M31" s="151"/>
      <c r="N31" s="152"/>
      <c r="O31" s="152"/>
      <c r="P31" s="152">
        <v>3170</v>
      </c>
      <c r="Q31" s="153">
        <f t="shared" si="0"/>
        <v>3170</v>
      </c>
    </row>
    <row r="32" spans="1:17">
      <c r="A32" s="147" t="s">
        <v>66</v>
      </c>
      <c r="B32" s="148" t="s">
        <v>485</v>
      </c>
      <c r="C32" s="148" t="s">
        <v>451</v>
      </c>
      <c r="D32" s="148" t="s">
        <v>0</v>
      </c>
      <c r="E32" s="148" t="s">
        <v>0</v>
      </c>
      <c r="F32" s="149" t="s">
        <v>0</v>
      </c>
      <c r="G32" s="149" t="s">
        <v>0</v>
      </c>
      <c r="H32" s="149" t="s">
        <v>0</v>
      </c>
      <c r="I32" s="149" t="s">
        <v>542</v>
      </c>
      <c r="J32" s="150"/>
      <c r="K32" s="151"/>
      <c r="L32" s="151"/>
      <c r="M32" s="151"/>
      <c r="N32" s="152"/>
      <c r="O32" s="152"/>
      <c r="P32" s="152">
        <v>1700000</v>
      </c>
      <c r="Q32" s="153">
        <f t="shared" si="0"/>
        <v>1700000</v>
      </c>
    </row>
    <row r="33" spans="1:17">
      <c r="A33" s="147" t="s">
        <v>70</v>
      </c>
      <c r="B33" s="148" t="s">
        <v>492</v>
      </c>
      <c r="C33" s="148" t="s">
        <v>59</v>
      </c>
      <c r="D33" s="148" t="s">
        <v>0</v>
      </c>
      <c r="E33" s="148" t="s">
        <v>0</v>
      </c>
      <c r="F33" s="149" t="s">
        <v>0</v>
      </c>
      <c r="G33" s="149" t="s">
        <v>0</v>
      </c>
      <c r="H33" s="149" t="s">
        <v>0</v>
      </c>
      <c r="I33" s="149" t="s">
        <v>542</v>
      </c>
      <c r="J33" s="150"/>
      <c r="K33" s="151"/>
      <c r="L33" s="151"/>
      <c r="M33" s="151"/>
      <c r="N33" s="152"/>
      <c r="O33" s="152"/>
      <c r="P33" s="152">
        <v>9754000</v>
      </c>
      <c r="Q33" s="153">
        <f t="shared" si="0"/>
        <v>9754000</v>
      </c>
    </row>
    <row r="34" spans="1:17">
      <c r="A34" s="147" t="s">
        <v>73</v>
      </c>
      <c r="B34" s="148" t="s">
        <v>459</v>
      </c>
      <c r="C34" s="148" t="s">
        <v>7</v>
      </c>
      <c r="D34" s="148" t="s">
        <v>0</v>
      </c>
      <c r="E34" s="148" t="s">
        <v>0</v>
      </c>
      <c r="F34" s="149" t="s">
        <v>0</v>
      </c>
      <c r="G34" s="149" t="s">
        <v>0</v>
      </c>
      <c r="H34" s="149" t="s">
        <v>0</v>
      </c>
      <c r="I34" s="149" t="s">
        <v>542</v>
      </c>
      <c r="J34" s="150"/>
      <c r="K34" s="151"/>
      <c r="L34" s="151"/>
      <c r="M34" s="151"/>
      <c r="N34" s="152"/>
      <c r="O34" s="152"/>
      <c r="P34" s="152">
        <v>4090909</v>
      </c>
      <c r="Q34" s="153">
        <f t="shared" si="0"/>
        <v>4090909</v>
      </c>
    </row>
    <row r="35" spans="1:17">
      <c r="A35" s="147" t="s">
        <v>77</v>
      </c>
      <c r="B35" s="148" t="s">
        <v>472</v>
      </c>
      <c r="C35" s="148" t="s">
        <v>473</v>
      </c>
      <c r="D35" s="148" t="s">
        <v>0</v>
      </c>
      <c r="E35" s="148" t="s">
        <v>0</v>
      </c>
      <c r="F35" s="149" t="s">
        <v>0</v>
      </c>
      <c r="G35" s="149" t="s">
        <v>0</v>
      </c>
      <c r="H35" s="149" t="s">
        <v>0</v>
      </c>
      <c r="I35" s="149" t="s">
        <v>542</v>
      </c>
      <c r="J35" s="150"/>
      <c r="K35" s="151"/>
      <c r="L35" s="151"/>
      <c r="M35" s="151"/>
      <c r="N35" s="152"/>
      <c r="O35" s="152"/>
      <c r="P35" s="152">
        <v>20000</v>
      </c>
      <c r="Q35" s="153">
        <f t="shared" si="0"/>
        <v>20000</v>
      </c>
    </row>
    <row r="36" spans="1:17">
      <c r="A36" s="147" t="s">
        <v>80</v>
      </c>
      <c r="B36" s="148" t="s">
        <v>508</v>
      </c>
      <c r="C36" s="148" t="s">
        <v>82</v>
      </c>
      <c r="D36" s="148" t="s">
        <v>0</v>
      </c>
      <c r="E36" s="148" t="s">
        <v>0</v>
      </c>
      <c r="F36" s="149" t="s">
        <v>0</v>
      </c>
      <c r="G36" s="149" t="s">
        <v>0</v>
      </c>
      <c r="H36" s="149" t="s">
        <v>0</v>
      </c>
      <c r="I36" s="149" t="s">
        <v>542</v>
      </c>
      <c r="J36" s="150"/>
      <c r="K36" s="151"/>
      <c r="L36" s="151"/>
      <c r="M36" s="151"/>
      <c r="N36" s="152"/>
      <c r="O36" s="152"/>
      <c r="P36" s="152">
        <v>20000</v>
      </c>
      <c r="Q36" s="153">
        <f t="shared" si="0"/>
        <v>20000</v>
      </c>
    </row>
    <row r="37" spans="1:17">
      <c r="A37" s="147" t="s">
        <v>81</v>
      </c>
      <c r="B37" s="148" t="s">
        <v>456</v>
      </c>
      <c r="C37" s="148" t="s">
        <v>82</v>
      </c>
      <c r="D37" s="148" t="s">
        <v>0</v>
      </c>
      <c r="E37" s="148" t="s">
        <v>0</v>
      </c>
      <c r="F37" s="149" t="s">
        <v>0</v>
      </c>
      <c r="G37" s="149" t="s">
        <v>0</v>
      </c>
      <c r="H37" s="149" t="s">
        <v>0</v>
      </c>
      <c r="I37" s="149" t="s">
        <v>542</v>
      </c>
      <c r="J37" s="150"/>
      <c r="K37" s="151"/>
      <c r="L37" s="151"/>
      <c r="M37" s="151"/>
      <c r="N37" s="152"/>
      <c r="O37" s="152"/>
      <c r="P37" s="152">
        <v>100000</v>
      </c>
      <c r="Q37" s="153">
        <f t="shared" si="0"/>
        <v>100000</v>
      </c>
    </row>
    <row r="38" spans="1:17">
      <c r="A38" s="147" t="s">
        <v>83</v>
      </c>
      <c r="B38" s="148" t="s">
        <v>457</v>
      </c>
      <c r="C38" s="148" t="s">
        <v>82</v>
      </c>
      <c r="D38" s="148" t="s">
        <v>0</v>
      </c>
      <c r="E38" s="148" t="s">
        <v>0</v>
      </c>
      <c r="F38" s="149" t="s">
        <v>0</v>
      </c>
      <c r="G38" s="149" t="s">
        <v>0</v>
      </c>
      <c r="H38" s="149" t="s">
        <v>0</v>
      </c>
      <c r="I38" s="149" t="s">
        <v>542</v>
      </c>
      <c r="J38" s="150"/>
      <c r="K38" s="151"/>
      <c r="L38" s="151"/>
      <c r="M38" s="151"/>
      <c r="N38" s="152"/>
      <c r="O38" s="152"/>
      <c r="P38" s="152">
        <v>200000</v>
      </c>
      <c r="Q38" s="153">
        <f t="shared" si="0"/>
        <v>200000</v>
      </c>
    </row>
    <row r="39" spans="1:17">
      <c r="A39" s="147" t="s">
        <v>123</v>
      </c>
      <c r="B39" s="148" t="s">
        <v>455</v>
      </c>
      <c r="C39" s="148" t="s">
        <v>82</v>
      </c>
      <c r="D39" s="148" t="s">
        <v>0</v>
      </c>
      <c r="E39" s="148" t="s">
        <v>0</v>
      </c>
      <c r="F39" s="149" t="s">
        <v>0</v>
      </c>
      <c r="G39" s="149" t="s">
        <v>0</v>
      </c>
      <c r="H39" s="149" t="s">
        <v>0</v>
      </c>
      <c r="I39" s="149" t="s">
        <v>542</v>
      </c>
      <c r="J39" s="150"/>
      <c r="K39" s="151"/>
      <c r="L39" s="151"/>
      <c r="M39" s="151"/>
      <c r="N39" s="152"/>
      <c r="O39" s="152"/>
      <c r="P39" s="152">
        <v>10000</v>
      </c>
      <c r="Q39" s="153">
        <f t="shared" si="0"/>
        <v>10000</v>
      </c>
    </row>
    <row r="40" spans="1:17">
      <c r="A40" s="147" t="s">
        <v>122</v>
      </c>
      <c r="B40" s="148" t="s">
        <v>496</v>
      </c>
      <c r="C40" s="148" t="s">
        <v>82</v>
      </c>
      <c r="D40" s="148" t="s">
        <v>0</v>
      </c>
      <c r="E40" s="148" t="s">
        <v>0</v>
      </c>
      <c r="F40" s="149" t="s">
        <v>0</v>
      </c>
      <c r="G40" s="149" t="s">
        <v>0</v>
      </c>
      <c r="H40" s="149" t="s">
        <v>0</v>
      </c>
      <c r="I40" s="149" t="s">
        <v>542</v>
      </c>
      <c r="J40" s="150"/>
      <c r="K40" s="151"/>
      <c r="L40" s="151"/>
      <c r="M40" s="151"/>
      <c r="N40" s="152"/>
      <c r="O40" s="152"/>
      <c r="P40" s="152">
        <v>60000</v>
      </c>
      <c r="Q40" s="153">
        <f t="shared" si="0"/>
        <v>60000</v>
      </c>
    </row>
    <row r="41" spans="1:17">
      <c r="A41" s="147" t="s">
        <v>121</v>
      </c>
      <c r="B41" s="148" t="s">
        <v>441</v>
      </c>
      <c r="C41" s="148" t="s">
        <v>82</v>
      </c>
      <c r="D41" s="148" t="s">
        <v>0</v>
      </c>
      <c r="E41" s="148" t="s">
        <v>0</v>
      </c>
      <c r="F41" s="149" t="s">
        <v>0</v>
      </c>
      <c r="G41" s="149" t="s">
        <v>0</v>
      </c>
      <c r="H41" s="149" t="s">
        <v>0</v>
      </c>
      <c r="I41" s="149" t="s">
        <v>542</v>
      </c>
      <c r="J41" s="150"/>
      <c r="K41" s="151"/>
      <c r="L41" s="151"/>
      <c r="M41" s="151"/>
      <c r="N41" s="152"/>
      <c r="O41" s="152"/>
      <c r="P41" s="152">
        <v>16000</v>
      </c>
      <c r="Q41" s="153">
        <f t="shared" si="0"/>
        <v>16000</v>
      </c>
    </row>
    <row r="42" spans="1:17">
      <c r="A42" s="147" t="s">
        <v>120</v>
      </c>
      <c r="B42" s="148" t="s">
        <v>448</v>
      </c>
      <c r="C42" s="148" t="s">
        <v>82</v>
      </c>
      <c r="D42" s="148" t="s">
        <v>0</v>
      </c>
      <c r="E42" s="148" t="s">
        <v>0</v>
      </c>
      <c r="F42" s="149" t="s">
        <v>0</v>
      </c>
      <c r="G42" s="149" t="s">
        <v>0</v>
      </c>
      <c r="H42" s="149" t="s">
        <v>0</v>
      </c>
      <c r="I42" s="149" t="s">
        <v>542</v>
      </c>
      <c r="J42" s="150"/>
      <c r="K42" s="151"/>
      <c r="L42" s="151"/>
      <c r="M42" s="151"/>
      <c r="N42" s="152"/>
      <c r="O42" s="152"/>
      <c r="P42" s="152">
        <v>200000</v>
      </c>
      <c r="Q42" s="153">
        <f t="shared" si="0"/>
        <v>200000</v>
      </c>
    </row>
    <row r="43" spans="1:17">
      <c r="A43" s="147" t="s">
        <v>118</v>
      </c>
      <c r="B43" s="148" t="s">
        <v>461</v>
      </c>
      <c r="C43" s="148" t="s">
        <v>82</v>
      </c>
      <c r="D43" s="148" t="s">
        <v>0</v>
      </c>
      <c r="E43" s="148" t="s">
        <v>0</v>
      </c>
      <c r="F43" s="149" t="s">
        <v>0</v>
      </c>
      <c r="G43" s="149" t="s">
        <v>0</v>
      </c>
      <c r="H43" s="149" t="s">
        <v>0</v>
      </c>
      <c r="I43" s="149" t="s">
        <v>542</v>
      </c>
      <c r="J43" s="150"/>
      <c r="K43" s="151"/>
      <c r="L43" s="151"/>
      <c r="M43" s="151"/>
      <c r="N43" s="152"/>
      <c r="O43" s="152"/>
      <c r="P43" s="152">
        <v>100000</v>
      </c>
      <c r="Q43" s="153">
        <f t="shared" si="0"/>
        <v>100000</v>
      </c>
    </row>
    <row r="44" spans="1:17">
      <c r="A44" s="147" t="s">
        <v>117</v>
      </c>
      <c r="B44" s="148" t="s">
        <v>466</v>
      </c>
      <c r="C44" s="148" t="s">
        <v>82</v>
      </c>
      <c r="D44" s="148" t="s">
        <v>0</v>
      </c>
      <c r="E44" s="148" t="s">
        <v>0</v>
      </c>
      <c r="F44" s="149" t="s">
        <v>0</v>
      </c>
      <c r="G44" s="149" t="s">
        <v>0</v>
      </c>
      <c r="H44" s="149" t="s">
        <v>0</v>
      </c>
      <c r="I44" s="149" t="s">
        <v>542</v>
      </c>
      <c r="J44" s="150"/>
      <c r="K44" s="151"/>
      <c r="L44" s="151"/>
      <c r="M44" s="151"/>
      <c r="N44" s="152"/>
      <c r="O44" s="152"/>
      <c r="P44" s="152">
        <v>1400000</v>
      </c>
      <c r="Q44" s="153">
        <f t="shared" si="0"/>
        <v>1400000</v>
      </c>
    </row>
    <row r="45" spans="1:17">
      <c r="A45" s="147" t="s">
        <v>116</v>
      </c>
      <c r="B45" s="148" t="s">
        <v>469</v>
      </c>
      <c r="C45" s="148" t="s">
        <v>82</v>
      </c>
      <c r="D45" s="148" t="s">
        <v>0</v>
      </c>
      <c r="E45" s="148" t="s">
        <v>0</v>
      </c>
      <c r="F45" s="149" t="s">
        <v>0</v>
      </c>
      <c r="G45" s="149" t="s">
        <v>0</v>
      </c>
      <c r="H45" s="149" t="s">
        <v>0</v>
      </c>
      <c r="I45" s="149" t="s">
        <v>542</v>
      </c>
      <c r="J45" s="150"/>
      <c r="K45" s="151"/>
      <c r="L45" s="151"/>
      <c r="M45" s="151"/>
      <c r="N45" s="152"/>
      <c r="O45" s="152"/>
      <c r="P45" s="152">
        <v>350000</v>
      </c>
      <c r="Q45" s="153">
        <f t="shared" si="0"/>
        <v>350000</v>
      </c>
    </row>
    <row r="46" spans="1:17">
      <c r="A46" s="147" t="s">
        <v>114</v>
      </c>
      <c r="B46" s="148" t="s">
        <v>475</v>
      </c>
      <c r="C46" s="148" t="s">
        <v>82</v>
      </c>
      <c r="D46" s="148" t="s">
        <v>0</v>
      </c>
      <c r="E46" s="148" t="s">
        <v>0</v>
      </c>
      <c r="F46" s="149" t="s">
        <v>0</v>
      </c>
      <c r="G46" s="149" t="s">
        <v>0</v>
      </c>
      <c r="H46" s="149" t="s">
        <v>0</v>
      </c>
      <c r="I46" s="149" t="s">
        <v>542</v>
      </c>
      <c r="J46" s="150"/>
      <c r="K46" s="151"/>
      <c r="L46" s="151"/>
      <c r="M46" s="151"/>
      <c r="N46" s="152"/>
      <c r="O46" s="152"/>
      <c r="P46" s="152">
        <v>350000</v>
      </c>
      <c r="Q46" s="153">
        <f t="shared" si="0"/>
        <v>350000</v>
      </c>
    </row>
    <row r="47" spans="1:17">
      <c r="A47" s="147" t="s">
        <v>113</v>
      </c>
      <c r="B47" s="148" t="s">
        <v>501</v>
      </c>
      <c r="C47" s="148" t="s">
        <v>82</v>
      </c>
      <c r="D47" s="148" t="s">
        <v>0</v>
      </c>
      <c r="E47" s="148" t="s">
        <v>0</v>
      </c>
      <c r="F47" s="149" t="s">
        <v>0</v>
      </c>
      <c r="G47" s="149" t="s">
        <v>0</v>
      </c>
      <c r="H47" s="149" t="s">
        <v>0</v>
      </c>
      <c r="I47" s="149" t="s">
        <v>542</v>
      </c>
      <c r="J47" s="150"/>
      <c r="K47" s="151"/>
      <c r="L47" s="151"/>
      <c r="M47" s="151"/>
      <c r="N47" s="152"/>
      <c r="O47" s="152"/>
      <c r="P47" s="152">
        <v>20000</v>
      </c>
      <c r="Q47" s="153">
        <f t="shared" si="0"/>
        <v>20000</v>
      </c>
    </row>
    <row r="48" spans="1:17">
      <c r="A48" s="147" t="s">
        <v>110</v>
      </c>
      <c r="B48" s="148" t="s">
        <v>521</v>
      </c>
      <c r="C48" s="148" t="s">
        <v>451</v>
      </c>
      <c r="D48" s="148" t="s">
        <v>0</v>
      </c>
      <c r="E48" s="148" t="s">
        <v>0</v>
      </c>
      <c r="F48" s="149" t="s">
        <v>0</v>
      </c>
      <c r="G48" s="149" t="s">
        <v>0</v>
      </c>
      <c r="H48" s="149" t="s">
        <v>0</v>
      </c>
      <c r="I48" s="149" t="s">
        <v>542</v>
      </c>
      <c r="J48" s="150"/>
      <c r="K48" s="151"/>
      <c r="L48" s="151"/>
      <c r="M48" s="151"/>
      <c r="N48" s="152"/>
      <c r="O48" s="152"/>
      <c r="P48" s="152">
        <v>1600000</v>
      </c>
      <c r="Q48" s="153">
        <f t="shared" si="0"/>
        <v>1600000</v>
      </c>
    </row>
    <row r="49" spans="1:17">
      <c r="A49" s="147" t="s">
        <v>109</v>
      </c>
      <c r="B49" s="148" t="s">
        <v>543</v>
      </c>
      <c r="C49" s="148" t="s">
        <v>451</v>
      </c>
      <c r="D49" s="148" t="s">
        <v>0</v>
      </c>
      <c r="E49" s="148" t="s">
        <v>0</v>
      </c>
      <c r="F49" s="149" t="s">
        <v>0</v>
      </c>
      <c r="G49" s="149" t="s">
        <v>0</v>
      </c>
      <c r="H49" s="149" t="s">
        <v>0</v>
      </c>
      <c r="I49" s="149" t="s">
        <v>542</v>
      </c>
      <c r="J49" s="150"/>
      <c r="K49" s="151"/>
      <c r="L49" s="151"/>
      <c r="M49" s="151"/>
      <c r="N49" s="152"/>
      <c r="O49" s="152"/>
      <c r="P49" s="152">
        <v>1600000</v>
      </c>
      <c r="Q49" s="153">
        <f t="shared" si="0"/>
        <v>1600000</v>
      </c>
    </row>
    <row r="50" spans="1:17">
      <c r="A50" s="147" t="s">
        <v>108</v>
      </c>
      <c r="B50" s="148" t="s">
        <v>433</v>
      </c>
      <c r="C50" s="148" t="s">
        <v>59</v>
      </c>
      <c r="D50" s="148" t="s">
        <v>0</v>
      </c>
      <c r="E50" s="148" t="s">
        <v>0</v>
      </c>
      <c r="F50" s="149" t="s">
        <v>0</v>
      </c>
      <c r="G50" s="149" t="s">
        <v>0</v>
      </c>
      <c r="H50" s="149" t="s">
        <v>0</v>
      </c>
      <c r="I50" s="149" t="s">
        <v>542</v>
      </c>
      <c r="J50" s="150"/>
      <c r="K50" s="151"/>
      <c r="L50" s="151"/>
      <c r="M50" s="151"/>
      <c r="N50" s="152"/>
      <c r="O50" s="152"/>
      <c r="P50" s="152">
        <v>51500000</v>
      </c>
      <c r="Q50" s="153">
        <f t="shared" si="0"/>
        <v>51500000</v>
      </c>
    </row>
    <row r="51" spans="1:17">
      <c r="A51" s="147" t="s">
        <v>107</v>
      </c>
      <c r="B51" s="148" t="s">
        <v>421</v>
      </c>
      <c r="C51" s="148" t="s">
        <v>422</v>
      </c>
      <c r="D51" s="148" t="s">
        <v>0</v>
      </c>
      <c r="E51" s="148" t="s">
        <v>0</v>
      </c>
      <c r="F51" s="149" t="s">
        <v>0</v>
      </c>
      <c r="G51" s="149" t="s">
        <v>0</v>
      </c>
      <c r="H51" s="149" t="s">
        <v>0</v>
      </c>
      <c r="I51" s="149" t="s">
        <v>542</v>
      </c>
      <c r="J51" s="150"/>
      <c r="K51" s="151"/>
      <c r="L51" s="151"/>
      <c r="M51" s="151"/>
      <c r="N51" s="152"/>
      <c r="O51" s="152"/>
      <c r="P51" s="152">
        <v>8000</v>
      </c>
      <c r="Q51" s="153">
        <f t="shared" si="0"/>
        <v>8000</v>
      </c>
    </row>
    <row r="52" spans="1:17">
      <c r="A52" s="147" t="s">
        <v>106</v>
      </c>
      <c r="B52" s="148" t="s">
        <v>479</v>
      </c>
      <c r="C52" s="148" t="s">
        <v>82</v>
      </c>
      <c r="D52" s="148" t="s">
        <v>0</v>
      </c>
      <c r="E52" s="148" t="s">
        <v>0</v>
      </c>
      <c r="F52" s="149" t="s">
        <v>0</v>
      </c>
      <c r="G52" s="149" t="s">
        <v>0</v>
      </c>
      <c r="H52" s="149" t="s">
        <v>0</v>
      </c>
      <c r="I52" s="149" t="s">
        <v>542</v>
      </c>
      <c r="J52" s="150"/>
      <c r="K52" s="151"/>
      <c r="L52" s="151"/>
      <c r="M52" s="151"/>
      <c r="N52" s="152"/>
      <c r="O52" s="152"/>
      <c r="P52" s="152">
        <v>100000</v>
      </c>
      <c r="Q52" s="153">
        <f t="shared" si="0"/>
        <v>100000</v>
      </c>
    </row>
    <row r="53" spans="1:17">
      <c r="A53" s="147" t="s">
        <v>105</v>
      </c>
      <c r="B53" s="148" t="s">
        <v>431</v>
      </c>
      <c r="C53" s="148" t="s">
        <v>59</v>
      </c>
      <c r="D53" s="148" t="s">
        <v>0</v>
      </c>
      <c r="E53" s="148" t="s">
        <v>0</v>
      </c>
      <c r="F53" s="149" t="s">
        <v>0</v>
      </c>
      <c r="G53" s="149" t="s">
        <v>0</v>
      </c>
      <c r="H53" s="149" t="s">
        <v>0</v>
      </c>
      <c r="I53" s="149" t="s">
        <v>542</v>
      </c>
      <c r="J53" s="150"/>
      <c r="K53" s="151"/>
      <c r="L53" s="151"/>
      <c r="M53" s="151"/>
      <c r="N53" s="152"/>
      <c r="O53" s="152"/>
      <c r="P53" s="152">
        <v>1200000</v>
      </c>
      <c r="Q53" s="153">
        <f t="shared" si="0"/>
        <v>1200000</v>
      </c>
    </row>
    <row r="54" spans="1:17">
      <c r="A54" s="147" t="s">
        <v>104</v>
      </c>
      <c r="B54" s="148" t="s">
        <v>488</v>
      </c>
      <c r="C54" s="148" t="s">
        <v>82</v>
      </c>
      <c r="D54" s="148" t="s">
        <v>0</v>
      </c>
      <c r="E54" s="148" t="s">
        <v>0</v>
      </c>
      <c r="F54" s="149" t="s">
        <v>0</v>
      </c>
      <c r="G54" s="149" t="s">
        <v>0</v>
      </c>
      <c r="H54" s="149" t="s">
        <v>0</v>
      </c>
      <c r="I54" s="149" t="s">
        <v>542</v>
      </c>
      <c r="J54" s="150"/>
      <c r="K54" s="151"/>
      <c r="L54" s="151"/>
      <c r="M54" s="151"/>
      <c r="N54" s="152"/>
      <c r="O54" s="152"/>
      <c r="P54" s="152">
        <v>15000</v>
      </c>
      <c r="Q54" s="153">
        <f t="shared" si="0"/>
        <v>15000</v>
      </c>
    </row>
    <row r="55" spans="1:17">
      <c r="A55" s="147" t="s">
        <v>103</v>
      </c>
      <c r="B55" s="148" t="s">
        <v>517</v>
      </c>
      <c r="C55" s="148" t="s">
        <v>82</v>
      </c>
      <c r="D55" s="148" t="s">
        <v>0</v>
      </c>
      <c r="E55" s="148" t="s">
        <v>0</v>
      </c>
      <c r="F55" s="149" t="s">
        <v>0</v>
      </c>
      <c r="G55" s="149" t="s">
        <v>0</v>
      </c>
      <c r="H55" s="149" t="s">
        <v>0</v>
      </c>
      <c r="I55" s="149" t="s">
        <v>542</v>
      </c>
      <c r="J55" s="150"/>
      <c r="K55" s="151"/>
      <c r="L55" s="151"/>
      <c r="M55" s="151"/>
      <c r="N55" s="152"/>
      <c r="O55" s="152"/>
      <c r="P55" s="152">
        <v>45000</v>
      </c>
      <c r="Q55" s="153">
        <f t="shared" si="0"/>
        <v>45000</v>
      </c>
    </row>
    <row r="56" spans="1:17">
      <c r="A56" s="147" t="s">
        <v>102</v>
      </c>
      <c r="B56" s="148" t="s">
        <v>432</v>
      </c>
      <c r="C56" s="148" t="s">
        <v>59</v>
      </c>
      <c r="D56" s="148" t="s">
        <v>0</v>
      </c>
      <c r="E56" s="148" t="s">
        <v>0</v>
      </c>
      <c r="F56" s="149" t="s">
        <v>0</v>
      </c>
      <c r="G56" s="149" t="s">
        <v>0</v>
      </c>
      <c r="H56" s="149" t="s">
        <v>0</v>
      </c>
      <c r="I56" s="149" t="s">
        <v>542</v>
      </c>
      <c r="J56" s="150"/>
      <c r="K56" s="151"/>
      <c r="L56" s="151"/>
      <c r="M56" s="151"/>
      <c r="N56" s="152"/>
      <c r="O56" s="152"/>
      <c r="P56" s="152">
        <v>17272000</v>
      </c>
      <c r="Q56" s="153">
        <f t="shared" si="0"/>
        <v>17272000</v>
      </c>
    </row>
    <row r="57" spans="1:17">
      <c r="A57" s="147" t="s">
        <v>101</v>
      </c>
      <c r="B57" s="148" t="s">
        <v>434</v>
      </c>
      <c r="C57" s="148" t="s">
        <v>59</v>
      </c>
      <c r="D57" s="148" t="s">
        <v>0</v>
      </c>
      <c r="E57" s="148" t="s">
        <v>0</v>
      </c>
      <c r="F57" s="149" t="s">
        <v>0</v>
      </c>
      <c r="G57" s="149" t="s">
        <v>0</v>
      </c>
      <c r="H57" s="149" t="s">
        <v>0</v>
      </c>
      <c r="I57" s="149" t="s">
        <v>542</v>
      </c>
      <c r="J57" s="150"/>
      <c r="K57" s="151"/>
      <c r="L57" s="151"/>
      <c r="M57" s="151"/>
      <c r="N57" s="152"/>
      <c r="O57" s="152"/>
      <c r="P57" s="152">
        <v>30000000</v>
      </c>
      <c r="Q57" s="153">
        <f t="shared" si="0"/>
        <v>30000000</v>
      </c>
    </row>
    <row r="58" spans="1:17">
      <c r="A58" s="147" t="s">
        <v>100</v>
      </c>
      <c r="B58" s="148" t="s">
        <v>494</v>
      </c>
      <c r="C58" s="148" t="s">
        <v>495</v>
      </c>
      <c r="D58" s="148" t="s">
        <v>0</v>
      </c>
      <c r="E58" s="148" t="s">
        <v>0</v>
      </c>
      <c r="F58" s="149" t="s">
        <v>0</v>
      </c>
      <c r="G58" s="149" t="s">
        <v>0</v>
      </c>
      <c r="H58" s="149" t="s">
        <v>0</v>
      </c>
      <c r="I58" s="149" t="s">
        <v>542</v>
      </c>
      <c r="J58" s="150"/>
      <c r="K58" s="151"/>
      <c r="L58" s="151"/>
      <c r="M58" s="151"/>
      <c r="N58" s="152"/>
      <c r="O58" s="152"/>
      <c r="P58" s="152">
        <v>1685</v>
      </c>
      <c r="Q58" s="153">
        <f t="shared" si="0"/>
        <v>1685</v>
      </c>
    </row>
    <row r="59" spans="1:17">
      <c r="A59" s="147" t="s">
        <v>99</v>
      </c>
      <c r="B59" s="148" t="s">
        <v>28</v>
      </c>
      <c r="C59" s="148" t="s">
        <v>7</v>
      </c>
      <c r="D59" s="148" t="s">
        <v>0</v>
      </c>
      <c r="E59" s="148" t="s">
        <v>0</v>
      </c>
      <c r="F59" s="149" t="s">
        <v>0</v>
      </c>
      <c r="G59" s="149" t="s">
        <v>0</v>
      </c>
      <c r="H59" s="149" t="s">
        <v>0</v>
      </c>
      <c r="I59" s="149" t="s">
        <v>542</v>
      </c>
      <c r="J59" s="150"/>
      <c r="K59" s="151"/>
      <c r="L59" s="151"/>
      <c r="M59" s="151"/>
      <c r="N59" s="152"/>
      <c r="O59" s="152"/>
      <c r="P59" s="152">
        <v>250000</v>
      </c>
      <c r="Q59" s="153">
        <f t="shared" si="0"/>
        <v>250000</v>
      </c>
    </row>
    <row r="60" spans="1:17">
      <c r="A60" s="147" t="s">
        <v>98</v>
      </c>
      <c r="B60" s="148" t="s">
        <v>476</v>
      </c>
      <c r="C60" s="148" t="s">
        <v>7</v>
      </c>
      <c r="D60" s="148" t="s">
        <v>0</v>
      </c>
      <c r="E60" s="148" t="s">
        <v>0</v>
      </c>
      <c r="F60" s="149" t="s">
        <v>0</v>
      </c>
      <c r="G60" s="149" t="s">
        <v>0</v>
      </c>
      <c r="H60" s="149" t="s">
        <v>0</v>
      </c>
      <c r="I60" s="149" t="s">
        <v>542</v>
      </c>
      <c r="J60" s="150"/>
      <c r="K60" s="151"/>
      <c r="L60" s="151"/>
      <c r="M60" s="151"/>
      <c r="N60" s="152"/>
      <c r="O60" s="152"/>
      <c r="P60" s="152">
        <v>104545</v>
      </c>
      <c r="Q60" s="153">
        <f t="shared" si="0"/>
        <v>104545</v>
      </c>
    </row>
    <row r="61" spans="1:17">
      <c r="A61" s="147" t="s">
        <v>97</v>
      </c>
      <c r="B61" s="148" t="s">
        <v>486</v>
      </c>
      <c r="C61" s="148" t="s">
        <v>82</v>
      </c>
      <c r="D61" s="148" t="s">
        <v>0</v>
      </c>
      <c r="E61" s="148" t="s">
        <v>0</v>
      </c>
      <c r="F61" s="149" t="s">
        <v>0</v>
      </c>
      <c r="G61" s="149" t="s">
        <v>0</v>
      </c>
      <c r="H61" s="149" t="s">
        <v>0</v>
      </c>
      <c r="I61" s="149" t="s">
        <v>542</v>
      </c>
      <c r="J61" s="150"/>
      <c r="K61" s="151"/>
      <c r="L61" s="151"/>
      <c r="M61" s="151"/>
      <c r="N61" s="152"/>
      <c r="O61" s="152"/>
      <c r="P61" s="152">
        <v>255000</v>
      </c>
      <c r="Q61" s="153">
        <f t="shared" si="0"/>
        <v>255000</v>
      </c>
    </row>
    <row r="62" spans="1:17">
      <c r="A62" s="147" t="s">
        <v>96</v>
      </c>
      <c r="B62" s="148" t="s">
        <v>462</v>
      </c>
      <c r="C62" s="148" t="s">
        <v>451</v>
      </c>
      <c r="D62" s="148" t="s">
        <v>0</v>
      </c>
      <c r="E62" s="148" t="s">
        <v>0</v>
      </c>
      <c r="F62" s="149" t="s">
        <v>0</v>
      </c>
      <c r="G62" s="149" t="s">
        <v>0</v>
      </c>
      <c r="H62" s="149" t="s">
        <v>0</v>
      </c>
      <c r="I62" s="149" t="s">
        <v>542</v>
      </c>
      <c r="J62" s="150"/>
      <c r="K62" s="151"/>
      <c r="L62" s="151"/>
      <c r="M62" s="151"/>
      <c r="N62" s="152"/>
      <c r="O62" s="152"/>
      <c r="P62" s="152">
        <v>185000</v>
      </c>
      <c r="Q62" s="153">
        <f t="shared" si="0"/>
        <v>185000</v>
      </c>
    </row>
    <row r="63" spans="1:17">
      <c r="A63" s="147" t="s">
        <v>95</v>
      </c>
      <c r="B63" s="148" t="s">
        <v>453</v>
      </c>
      <c r="C63" s="148" t="s">
        <v>82</v>
      </c>
      <c r="D63" s="148" t="s">
        <v>0</v>
      </c>
      <c r="E63" s="148" t="s">
        <v>0</v>
      </c>
      <c r="F63" s="149" t="s">
        <v>0</v>
      </c>
      <c r="G63" s="149" t="s">
        <v>0</v>
      </c>
      <c r="H63" s="149" t="s">
        <v>0</v>
      </c>
      <c r="I63" s="149" t="s">
        <v>542</v>
      </c>
      <c r="J63" s="150"/>
      <c r="K63" s="151"/>
      <c r="L63" s="151"/>
      <c r="M63" s="151"/>
      <c r="N63" s="152"/>
      <c r="O63" s="152"/>
      <c r="P63" s="152">
        <v>100000</v>
      </c>
      <c r="Q63" s="153">
        <f t="shared" si="0"/>
        <v>100000</v>
      </c>
    </row>
    <row r="64" spans="1:17">
      <c r="A64" s="147" t="s">
        <v>94</v>
      </c>
      <c r="B64" s="148" t="s">
        <v>507</v>
      </c>
      <c r="C64" s="148" t="s">
        <v>82</v>
      </c>
      <c r="D64" s="148" t="s">
        <v>0</v>
      </c>
      <c r="E64" s="148" t="s">
        <v>0</v>
      </c>
      <c r="F64" s="149" t="s">
        <v>0</v>
      </c>
      <c r="G64" s="149" t="s">
        <v>0</v>
      </c>
      <c r="H64" s="149" t="s">
        <v>0</v>
      </c>
      <c r="I64" s="149" t="s">
        <v>542</v>
      </c>
      <c r="J64" s="150"/>
      <c r="K64" s="151"/>
      <c r="L64" s="151"/>
      <c r="M64" s="151"/>
      <c r="N64" s="152"/>
      <c r="O64" s="152"/>
      <c r="P64" s="152">
        <v>6000</v>
      </c>
      <c r="Q64" s="153">
        <f t="shared" si="0"/>
        <v>6000</v>
      </c>
    </row>
    <row r="65" spans="1:17">
      <c r="A65" s="147" t="s">
        <v>93</v>
      </c>
      <c r="B65" s="148" t="s">
        <v>452</v>
      </c>
      <c r="C65" s="148" t="s">
        <v>129</v>
      </c>
      <c r="D65" s="148" t="s">
        <v>0</v>
      </c>
      <c r="E65" s="148" t="s">
        <v>0</v>
      </c>
      <c r="F65" s="149" t="s">
        <v>0</v>
      </c>
      <c r="G65" s="149" t="s">
        <v>0</v>
      </c>
      <c r="H65" s="149" t="s">
        <v>0</v>
      </c>
      <c r="I65" s="149" t="s">
        <v>542</v>
      </c>
      <c r="J65" s="150"/>
      <c r="K65" s="151"/>
      <c r="L65" s="151"/>
      <c r="M65" s="151"/>
      <c r="N65" s="152"/>
      <c r="O65" s="152"/>
      <c r="P65" s="152">
        <v>130000</v>
      </c>
      <c r="Q65" s="153">
        <f t="shared" si="0"/>
        <v>130000</v>
      </c>
    </row>
    <row r="66" spans="1:17">
      <c r="A66" s="147" t="s">
        <v>92</v>
      </c>
      <c r="B66" s="148" t="s">
        <v>499</v>
      </c>
      <c r="C66" s="148" t="s">
        <v>82</v>
      </c>
      <c r="D66" s="148" t="s">
        <v>0</v>
      </c>
      <c r="E66" s="148" t="s">
        <v>0</v>
      </c>
      <c r="F66" s="149" t="s">
        <v>0</v>
      </c>
      <c r="G66" s="149" t="s">
        <v>0</v>
      </c>
      <c r="H66" s="149" t="s">
        <v>0</v>
      </c>
      <c r="I66" s="149" t="s">
        <v>542</v>
      </c>
      <c r="J66" s="150"/>
      <c r="K66" s="151"/>
      <c r="L66" s="151"/>
      <c r="M66" s="151"/>
      <c r="N66" s="152"/>
      <c r="O66" s="152"/>
      <c r="P66" s="152">
        <v>350000</v>
      </c>
      <c r="Q66" s="153">
        <f t="shared" si="0"/>
        <v>350000</v>
      </c>
    </row>
    <row r="67" spans="1:17">
      <c r="A67" s="147" t="s">
        <v>91</v>
      </c>
      <c r="B67" s="148" t="s">
        <v>470</v>
      </c>
      <c r="C67" s="148" t="s">
        <v>471</v>
      </c>
      <c r="D67" s="148" t="s">
        <v>0</v>
      </c>
      <c r="E67" s="148" t="s">
        <v>0</v>
      </c>
      <c r="F67" s="149" t="s">
        <v>0</v>
      </c>
      <c r="G67" s="149" t="s">
        <v>0</v>
      </c>
      <c r="H67" s="149" t="s">
        <v>0</v>
      </c>
      <c r="I67" s="149" t="s">
        <v>542</v>
      </c>
      <c r="J67" s="150"/>
      <c r="K67" s="151"/>
      <c r="L67" s="151"/>
      <c r="M67" s="151"/>
      <c r="N67" s="152"/>
      <c r="O67" s="152"/>
      <c r="P67" s="152">
        <v>350000</v>
      </c>
      <c r="Q67" s="153">
        <f t="shared" si="0"/>
        <v>350000</v>
      </c>
    </row>
    <row r="68" spans="1:17">
      <c r="A68" s="147" t="s">
        <v>90</v>
      </c>
      <c r="B68" s="148" t="s">
        <v>464</v>
      </c>
      <c r="C68" s="148" t="s">
        <v>82</v>
      </c>
      <c r="D68" s="148" t="s">
        <v>0</v>
      </c>
      <c r="E68" s="148" t="s">
        <v>0</v>
      </c>
      <c r="F68" s="149" t="s">
        <v>0</v>
      </c>
      <c r="G68" s="149" t="s">
        <v>0</v>
      </c>
      <c r="H68" s="149" t="s">
        <v>0</v>
      </c>
      <c r="I68" s="149" t="s">
        <v>542</v>
      </c>
      <c r="J68" s="150"/>
      <c r="K68" s="151"/>
      <c r="L68" s="151"/>
      <c r="M68" s="151"/>
      <c r="N68" s="152"/>
      <c r="O68" s="152"/>
      <c r="P68" s="152">
        <v>910000</v>
      </c>
      <c r="Q68" s="153">
        <f t="shared" si="0"/>
        <v>910000</v>
      </c>
    </row>
    <row r="69" spans="1:17" ht="15" thickBot="1">
      <c r="A69" s="154" t="s">
        <v>89</v>
      </c>
      <c r="B69" s="155" t="s">
        <v>463</v>
      </c>
      <c r="C69" s="155" t="s">
        <v>129</v>
      </c>
      <c r="D69" s="155" t="s">
        <v>0</v>
      </c>
      <c r="E69" s="155" t="s">
        <v>0</v>
      </c>
      <c r="F69" s="156" t="s">
        <v>0</v>
      </c>
      <c r="G69" s="156" t="s">
        <v>0</v>
      </c>
      <c r="H69" s="156" t="s">
        <v>0</v>
      </c>
      <c r="I69" s="156" t="s">
        <v>542</v>
      </c>
      <c r="J69" s="157"/>
      <c r="K69" s="158"/>
      <c r="L69" s="158"/>
      <c r="M69" s="158"/>
      <c r="N69" s="159"/>
      <c r="O69" s="159"/>
      <c r="P69" s="159">
        <v>350000</v>
      </c>
      <c r="Q69" s="160">
        <f t="shared" si="0"/>
        <v>350000</v>
      </c>
    </row>
    <row r="70" spans="1:17">
      <c r="A70" s="1110">
        <v>63</v>
      </c>
      <c r="B70" s="1111" t="s">
        <v>1901</v>
      </c>
      <c r="C70" s="1111" t="s">
        <v>82</v>
      </c>
      <c r="D70" s="1111" t="s">
        <v>0</v>
      </c>
      <c r="E70" s="1111" t="s">
        <v>0</v>
      </c>
      <c r="F70" s="1112" t="s">
        <v>0</v>
      </c>
      <c r="G70" s="1112" t="s">
        <v>0</v>
      </c>
      <c r="H70" s="1112" t="s">
        <v>0</v>
      </c>
      <c r="I70" s="1112" t="s">
        <v>542</v>
      </c>
      <c r="J70" s="1113"/>
      <c r="K70" s="1114"/>
      <c r="L70" s="1114"/>
      <c r="M70" s="1114"/>
      <c r="N70" s="1115"/>
      <c r="O70" s="1115"/>
      <c r="P70" s="1115">
        <v>85000</v>
      </c>
      <c r="Q70" s="1116">
        <f t="shared" si="0"/>
        <v>85000</v>
      </c>
    </row>
    <row r="71" spans="1:17">
      <c r="A71" s="1110">
        <v>64</v>
      </c>
      <c r="B71" s="1111" t="s">
        <v>1902</v>
      </c>
      <c r="C71" s="1111" t="s">
        <v>36</v>
      </c>
      <c r="D71" s="1111" t="s">
        <v>0</v>
      </c>
      <c r="E71" s="1111" t="s">
        <v>0</v>
      </c>
      <c r="F71" s="1112" t="s">
        <v>0</v>
      </c>
      <c r="G71" s="1112" t="s">
        <v>0</v>
      </c>
      <c r="H71" s="1112" t="s">
        <v>0</v>
      </c>
      <c r="I71" s="1112" t="s">
        <v>542</v>
      </c>
      <c r="J71" s="1113"/>
      <c r="K71" s="1114"/>
      <c r="L71" s="1114"/>
      <c r="M71" s="1114"/>
      <c r="N71" s="1115"/>
      <c r="O71" s="1115"/>
      <c r="P71" s="1115">
        <v>8000</v>
      </c>
      <c r="Q71" s="1116">
        <f t="shared" si="0"/>
        <v>8000</v>
      </c>
    </row>
    <row r="72" spans="1:17">
      <c r="A72" s="1110">
        <v>65</v>
      </c>
      <c r="B72" s="1111" t="s">
        <v>1904</v>
      </c>
      <c r="C72" s="1111" t="s">
        <v>59</v>
      </c>
      <c r="D72" s="1111" t="s">
        <v>0</v>
      </c>
      <c r="E72" s="1111" t="s">
        <v>0</v>
      </c>
      <c r="F72" s="1112" t="s">
        <v>0</v>
      </c>
      <c r="G72" s="1112" t="s">
        <v>0</v>
      </c>
      <c r="H72" s="1112" t="s">
        <v>0</v>
      </c>
      <c r="I72" s="1112" t="s">
        <v>542</v>
      </c>
      <c r="J72" s="1113"/>
      <c r="K72" s="1114"/>
      <c r="L72" s="1114"/>
      <c r="M72" s="1114"/>
      <c r="N72" s="1115"/>
      <c r="O72" s="1115"/>
      <c r="P72" s="1115">
        <v>50000000</v>
      </c>
      <c r="Q72" s="1116">
        <f t="shared" ref="Q72" si="1">N72+O72+P72</f>
        <v>50000000</v>
      </c>
    </row>
  </sheetData>
  <mergeCells count="4">
    <mergeCell ref="A1:Q1"/>
    <mergeCell ref="A2:Q2"/>
    <mergeCell ref="A3:Q3"/>
    <mergeCell ref="A4:Q4"/>
  </mergeCells>
  <phoneticPr fontId="18" type="noConversion"/>
  <printOptions horizontalCentered="1"/>
  <pageMargins left="0.5" right="0.25" top="0.75" bottom="0.75" header="0.5" footer="0.5"/>
  <pageSetup paperSize="9" orientation="landscape" verticalDpi="0" r:id="rId1"/>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8D974-0E89-421E-AAED-F15CD1EF3860}">
  <sheetPr>
    <tabColor rgb="FF00B050"/>
  </sheetPr>
  <dimension ref="A1:T42"/>
  <sheetViews>
    <sheetView showZeros="0" workbookViewId="0">
      <selection activeCell="A5" sqref="A5:XFD7"/>
    </sheetView>
  </sheetViews>
  <sheetFormatPr defaultRowHeight="12.75"/>
  <cols>
    <col min="1" max="1" width="3.625" style="15" customWidth="1"/>
    <col min="2" max="2" width="21.75" style="15" customWidth="1"/>
    <col min="3" max="3" width="4.125" style="15" customWidth="1"/>
    <col min="4" max="4" width="4.125" style="16" customWidth="1"/>
    <col min="5" max="5" width="4.625" style="17" customWidth="1"/>
    <col min="6" max="6" width="4.125" style="17" customWidth="1"/>
    <col min="7" max="7" width="4.375" style="17" bestFit="1" customWidth="1"/>
    <col min="8" max="8" width="10.75" style="15" bestFit="1" customWidth="1"/>
    <col min="9" max="9" width="11.875" style="15" bestFit="1" customWidth="1"/>
    <col min="10" max="11" width="7" style="18" bestFit="1" customWidth="1"/>
    <col min="12" max="15" width="6.875" style="18" bestFit="1" customWidth="1"/>
    <col min="16" max="16" width="8" style="18" bestFit="1" customWidth="1"/>
    <col min="17" max="16384" width="9" style="15"/>
  </cols>
  <sheetData>
    <row r="1" spans="1:20" ht="23.1" customHeight="1">
      <c r="A1" s="1184" t="s">
        <v>151</v>
      </c>
      <c r="B1" s="1184"/>
      <c r="C1" s="1184"/>
      <c r="D1" s="1184"/>
      <c r="E1" s="1184"/>
      <c r="F1" s="1184"/>
      <c r="G1" s="1184"/>
      <c r="H1" s="1184"/>
      <c r="I1" s="1184"/>
      <c r="J1" s="1184"/>
      <c r="K1" s="1184"/>
      <c r="L1" s="1184"/>
      <c r="M1" s="1184"/>
      <c r="N1" s="1184"/>
      <c r="O1" s="1184"/>
      <c r="P1" s="1184"/>
    </row>
    <row r="2" spans="1:20" ht="13.5" thickBot="1">
      <c r="A2" s="37"/>
      <c r="B2" s="37"/>
      <c r="C2" s="37"/>
      <c r="D2" s="38"/>
      <c r="E2" s="39"/>
      <c r="F2" s="39"/>
      <c r="G2" s="39"/>
      <c r="H2" s="37"/>
      <c r="I2" s="252" t="e">
        <f>#REF!</f>
        <v>#REF!</v>
      </c>
      <c r="J2" s="40"/>
      <c r="K2" s="40"/>
      <c r="L2" s="40"/>
      <c r="M2" s="40"/>
      <c r="N2" s="40"/>
      <c r="O2" s="40"/>
      <c r="P2" s="40"/>
    </row>
    <row r="3" spans="1:20" ht="45" customHeight="1">
      <c r="A3" s="41" t="s">
        <v>136</v>
      </c>
      <c r="B3" s="42" t="s">
        <v>152</v>
      </c>
      <c r="C3" s="42" t="s">
        <v>153</v>
      </c>
      <c r="D3" s="43" t="s">
        <v>154</v>
      </c>
      <c r="E3" s="44" t="s">
        <v>155</v>
      </c>
      <c r="F3" s="44" t="s">
        <v>156</v>
      </c>
      <c r="G3" s="44" t="s">
        <v>157</v>
      </c>
      <c r="H3" s="42" t="s">
        <v>158</v>
      </c>
      <c r="I3" s="42" t="s">
        <v>159</v>
      </c>
      <c r="J3" s="45" t="s">
        <v>160</v>
      </c>
      <c r="K3" s="45" t="s">
        <v>161</v>
      </c>
      <c r="L3" s="45" t="s">
        <v>162</v>
      </c>
      <c r="M3" s="45" t="s">
        <v>163</v>
      </c>
      <c r="N3" s="45" t="s">
        <v>164</v>
      </c>
      <c r="O3" s="45" t="s">
        <v>165</v>
      </c>
      <c r="P3" s="46" t="s">
        <v>166</v>
      </c>
      <c r="R3" s="15" t="s">
        <v>587</v>
      </c>
      <c r="S3" s="15" t="s">
        <v>571</v>
      </c>
      <c r="T3" s="15" t="s">
        <v>588</v>
      </c>
    </row>
    <row r="4" spans="1:20">
      <c r="A4" s="31" t="s">
        <v>1</v>
      </c>
      <c r="B4" s="32" t="s">
        <v>423</v>
      </c>
      <c r="C4" s="32" t="s">
        <v>3</v>
      </c>
      <c r="D4" s="33">
        <v>0</v>
      </c>
      <c r="E4" s="34">
        <v>0</v>
      </c>
      <c r="F4" s="34">
        <v>0</v>
      </c>
      <c r="G4" s="34">
        <v>0</v>
      </c>
      <c r="H4" s="32" t="s">
        <v>0</v>
      </c>
      <c r="I4" s="130" t="e">
        <f>IF($I$2="KV1",R4,IF($I$2="KV2",S4,IF($I$2="KV3",T4,0)))</f>
        <v>#REF!</v>
      </c>
      <c r="J4" s="35">
        <v>0</v>
      </c>
      <c r="K4" s="35">
        <v>0</v>
      </c>
      <c r="L4" s="35">
        <v>0</v>
      </c>
      <c r="M4" s="35">
        <v>0</v>
      </c>
      <c r="N4" s="35">
        <v>0</v>
      </c>
      <c r="O4" s="35">
        <v>0</v>
      </c>
      <c r="P4" s="36" t="e">
        <f>ROUND(I4*1.4/1.4,0)</f>
        <v>#REF!</v>
      </c>
      <c r="R4" s="1092">
        <v>301044</v>
      </c>
      <c r="S4" s="1092">
        <v>286709</v>
      </c>
      <c r="T4" s="1092">
        <v>331722</v>
      </c>
    </row>
    <row r="5" spans="1:20">
      <c r="A5" s="19" t="s">
        <v>10</v>
      </c>
      <c r="B5" s="20" t="s">
        <v>468</v>
      </c>
      <c r="C5" s="20" t="s">
        <v>3</v>
      </c>
      <c r="D5" s="21">
        <v>0</v>
      </c>
      <c r="E5" s="22">
        <v>0</v>
      </c>
      <c r="F5" s="22">
        <v>0</v>
      </c>
      <c r="G5" s="22">
        <v>0</v>
      </c>
      <c r="H5" s="20" t="s">
        <v>0</v>
      </c>
      <c r="I5" s="130" t="e">
        <f>IF($I$2="KV1",R5,IF($I$2="KV2",S5,IF($I$2="KV3",T5,0)))</f>
        <v>#REF!</v>
      </c>
      <c r="J5" s="23">
        <v>0</v>
      </c>
      <c r="K5" s="23">
        <v>0</v>
      </c>
      <c r="L5" s="23">
        <v>0</v>
      </c>
      <c r="M5" s="23">
        <v>0</v>
      </c>
      <c r="N5" s="23">
        <v>0</v>
      </c>
      <c r="O5" s="23">
        <v>0</v>
      </c>
      <c r="P5" s="36" t="e">
        <f>ROUND(I5*1.52/1.52,0)</f>
        <v>#REF!</v>
      </c>
      <c r="R5" s="1092">
        <v>234184</v>
      </c>
      <c r="S5" s="1092">
        <v>223032</v>
      </c>
      <c r="T5" s="1092">
        <v>258048</v>
      </c>
    </row>
    <row r="6" spans="1:20">
      <c r="A6" s="19" t="s">
        <v>5</v>
      </c>
      <c r="B6" s="20" t="s">
        <v>424</v>
      </c>
      <c r="C6" s="20" t="s">
        <v>3</v>
      </c>
      <c r="D6" s="21">
        <v>0</v>
      </c>
      <c r="E6" s="22">
        <v>0</v>
      </c>
      <c r="F6" s="22">
        <v>0</v>
      </c>
      <c r="G6" s="22">
        <v>0</v>
      </c>
      <c r="H6" s="20" t="s">
        <v>0</v>
      </c>
      <c r="I6" s="130" t="e">
        <f>IF($I$2="KV1",R6,IF($I$2="KV2",S6,IF($I$2="KV3",T6,0)))</f>
        <v>#REF!</v>
      </c>
      <c r="J6" s="23">
        <v>0</v>
      </c>
      <c r="K6" s="23">
        <v>0</v>
      </c>
      <c r="L6" s="23">
        <v>0</v>
      </c>
      <c r="M6" s="23">
        <v>0</v>
      </c>
      <c r="N6" s="23">
        <v>0</v>
      </c>
      <c r="O6" s="23">
        <v>0</v>
      </c>
      <c r="P6" s="36" t="e">
        <f>ROUND(I6*1.65/1.52,0)</f>
        <v>#REF!</v>
      </c>
      <c r="R6" s="1092">
        <v>234184</v>
      </c>
      <c r="S6" s="1092">
        <v>223032</v>
      </c>
      <c r="T6" s="1092">
        <v>258048</v>
      </c>
    </row>
    <row r="7" spans="1:20">
      <c r="A7" s="19" t="s">
        <v>8</v>
      </c>
      <c r="B7" s="20" t="s">
        <v>435</v>
      </c>
      <c r="C7" s="20" t="s">
        <v>3</v>
      </c>
      <c r="D7" s="21">
        <v>0</v>
      </c>
      <c r="E7" s="22">
        <v>0</v>
      </c>
      <c r="F7" s="22">
        <v>0</v>
      </c>
      <c r="G7" s="22">
        <v>0</v>
      </c>
      <c r="H7" s="20" t="s">
        <v>0</v>
      </c>
      <c r="I7" s="130" t="e">
        <f>IF($I$2="KV1",R7,IF($I$2="KV2",S7,IF($I$2="KV3",T7,0)))</f>
        <v>#REF!</v>
      </c>
      <c r="J7" s="23">
        <v>0</v>
      </c>
      <c r="K7" s="23">
        <v>0</v>
      </c>
      <c r="L7" s="23">
        <v>0</v>
      </c>
      <c r="M7" s="23">
        <v>0</v>
      </c>
      <c r="N7" s="23">
        <v>0</v>
      </c>
      <c r="O7" s="23">
        <v>0</v>
      </c>
      <c r="P7" s="36" t="e">
        <f>ROUND(I7*1.795/1.52,0)</f>
        <v>#REF!</v>
      </c>
      <c r="R7" s="1092">
        <v>234184</v>
      </c>
      <c r="S7" s="1092">
        <v>223032</v>
      </c>
      <c r="T7" s="1092">
        <v>258048</v>
      </c>
    </row>
    <row r="8" spans="1:20">
      <c r="A8" s="19" t="s">
        <v>11</v>
      </c>
      <c r="B8" s="20" t="s">
        <v>474</v>
      </c>
      <c r="C8" s="20" t="s">
        <v>4</v>
      </c>
      <c r="D8" s="21">
        <v>180</v>
      </c>
      <c r="E8" s="22">
        <v>14</v>
      </c>
      <c r="F8" s="22">
        <v>3.5</v>
      </c>
      <c r="G8" s="22">
        <v>5</v>
      </c>
      <c r="H8" s="20" t="s">
        <v>0</v>
      </c>
      <c r="I8" s="20" t="s">
        <v>0</v>
      </c>
      <c r="J8" s="23">
        <v>9400</v>
      </c>
      <c r="K8" s="23">
        <f>J8*E8/D8*10</f>
        <v>7311.1111111111113</v>
      </c>
      <c r="L8" s="23">
        <f>J8*F8/D8*10</f>
        <v>1827.7777777777778</v>
      </c>
      <c r="M8" s="23"/>
      <c r="N8" s="23"/>
      <c r="O8" s="23">
        <f>J8*G8/D8*10</f>
        <v>2611.1111111111109</v>
      </c>
      <c r="P8" s="24">
        <v>11076.361111111111</v>
      </c>
    </row>
    <row r="9" spans="1:20">
      <c r="A9" s="19" t="s">
        <v>12</v>
      </c>
      <c r="B9" s="20" t="s">
        <v>460</v>
      </c>
      <c r="C9" s="20" t="s">
        <v>4</v>
      </c>
      <c r="D9" s="21">
        <v>180</v>
      </c>
      <c r="E9" s="22">
        <v>20</v>
      </c>
      <c r="F9" s="22">
        <v>6</v>
      </c>
      <c r="G9" s="22">
        <v>5</v>
      </c>
      <c r="H9" s="20" t="s">
        <v>0</v>
      </c>
      <c r="I9" s="20" t="s">
        <v>0</v>
      </c>
      <c r="J9" s="23">
        <v>30600</v>
      </c>
      <c r="K9" s="23">
        <f>J9*(1-0.1)*E9/D9*10</f>
        <v>30600</v>
      </c>
      <c r="L9" s="23">
        <f>J9*F9/D9*10</f>
        <v>10200</v>
      </c>
      <c r="M9" s="23"/>
      <c r="N9" s="23"/>
      <c r="O9" s="23">
        <f>J9*G9/D9*10</f>
        <v>8500</v>
      </c>
      <c r="P9" s="24">
        <v>47751.861111111109</v>
      </c>
    </row>
    <row r="10" spans="1:20">
      <c r="A10" s="19" t="s">
        <v>13</v>
      </c>
      <c r="B10" s="20" t="s">
        <v>482</v>
      </c>
      <c r="C10" s="20" t="s">
        <v>4</v>
      </c>
      <c r="D10" s="21">
        <v>0</v>
      </c>
      <c r="E10" s="22">
        <v>0</v>
      </c>
      <c r="F10" s="22">
        <v>0</v>
      </c>
      <c r="G10" s="22">
        <v>0</v>
      </c>
      <c r="H10" s="20" t="s">
        <v>0</v>
      </c>
      <c r="I10" s="20" t="s">
        <v>0</v>
      </c>
      <c r="J10" s="23">
        <v>0</v>
      </c>
      <c r="K10" s="23"/>
      <c r="L10" s="23"/>
      <c r="M10" s="23"/>
      <c r="N10" s="23"/>
      <c r="O10" s="23"/>
      <c r="P10" s="24">
        <v>61220.35</v>
      </c>
    </row>
    <row r="11" spans="1:20">
      <c r="A11" s="19" t="s">
        <v>14</v>
      </c>
      <c r="B11" s="20" t="s">
        <v>526</v>
      </c>
      <c r="C11" s="20" t="s">
        <v>4</v>
      </c>
      <c r="D11" s="21">
        <v>150</v>
      </c>
      <c r="E11" s="22">
        <v>40</v>
      </c>
      <c r="F11" s="22">
        <v>6.5</v>
      </c>
      <c r="G11" s="22">
        <v>4</v>
      </c>
      <c r="H11" s="20" t="s">
        <v>0</v>
      </c>
      <c r="I11" s="20" t="s">
        <v>0</v>
      </c>
      <c r="J11" s="23">
        <v>900</v>
      </c>
      <c r="K11" s="23">
        <f t="shared" ref="K11:K16" si="0">J11*E11/D11*10</f>
        <v>2400</v>
      </c>
      <c r="L11" s="23">
        <f t="shared" ref="L11:L16" si="1">J11*F11/D11*10</f>
        <v>390</v>
      </c>
      <c r="M11" s="23"/>
      <c r="N11" s="23"/>
      <c r="O11" s="23">
        <f t="shared" ref="O11:O16" si="2">J11*G11/D11*10</f>
        <v>240</v>
      </c>
      <c r="P11" s="24">
        <v>2786.4</v>
      </c>
    </row>
    <row r="12" spans="1:20">
      <c r="A12" s="19" t="s">
        <v>15</v>
      </c>
      <c r="B12" s="20" t="s">
        <v>498</v>
      </c>
      <c r="C12" s="20" t="s">
        <v>4</v>
      </c>
      <c r="D12" s="21">
        <v>200</v>
      </c>
      <c r="E12" s="22">
        <v>14</v>
      </c>
      <c r="F12" s="22">
        <v>1.8</v>
      </c>
      <c r="G12" s="22">
        <v>4</v>
      </c>
      <c r="H12" s="20" t="s">
        <v>0</v>
      </c>
      <c r="I12" s="20" t="s">
        <v>0</v>
      </c>
      <c r="J12" s="23">
        <v>11100</v>
      </c>
      <c r="K12" s="23">
        <f t="shared" si="0"/>
        <v>7770</v>
      </c>
      <c r="L12" s="23">
        <f t="shared" si="1"/>
        <v>999</v>
      </c>
      <c r="M12" s="23"/>
      <c r="N12" s="23"/>
      <c r="O12" s="23">
        <f t="shared" si="2"/>
        <v>2220</v>
      </c>
      <c r="P12" s="24">
        <v>10053.540000000001</v>
      </c>
    </row>
    <row r="13" spans="1:20">
      <c r="A13" s="19" t="s">
        <v>16</v>
      </c>
      <c r="B13" s="20" t="s">
        <v>502</v>
      </c>
      <c r="C13" s="20" t="s">
        <v>4</v>
      </c>
      <c r="D13" s="21">
        <v>200</v>
      </c>
      <c r="E13" s="22">
        <v>14</v>
      </c>
      <c r="F13" s="22">
        <v>1.8</v>
      </c>
      <c r="G13" s="22">
        <v>4</v>
      </c>
      <c r="H13" s="20" t="s">
        <v>0</v>
      </c>
      <c r="I13" s="20" t="s">
        <v>0</v>
      </c>
      <c r="J13" s="23">
        <v>11100</v>
      </c>
      <c r="K13" s="23">
        <f t="shared" si="0"/>
        <v>7770</v>
      </c>
      <c r="L13" s="23">
        <f t="shared" si="1"/>
        <v>999</v>
      </c>
      <c r="M13" s="23"/>
      <c r="N13" s="23"/>
      <c r="O13" s="23">
        <f t="shared" si="2"/>
        <v>2220</v>
      </c>
      <c r="P13" s="24">
        <v>10053.540000000001</v>
      </c>
    </row>
    <row r="14" spans="1:20">
      <c r="A14" s="19" t="s">
        <v>17</v>
      </c>
      <c r="B14" s="20" t="s">
        <v>484</v>
      </c>
      <c r="C14" s="20" t="s">
        <v>4</v>
      </c>
      <c r="D14" s="21">
        <v>180</v>
      </c>
      <c r="E14" s="22">
        <v>14</v>
      </c>
      <c r="F14" s="22">
        <v>2.8</v>
      </c>
      <c r="G14" s="22">
        <v>4</v>
      </c>
      <c r="H14" s="20" t="s">
        <v>0</v>
      </c>
      <c r="I14" s="20" t="s">
        <v>0</v>
      </c>
      <c r="J14" s="23">
        <v>18200</v>
      </c>
      <c r="K14" s="23">
        <f t="shared" si="0"/>
        <v>14155.555555555557</v>
      </c>
      <c r="L14" s="23">
        <f t="shared" si="1"/>
        <v>2831.1111111111109</v>
      </c>
      <c r="M14" s="23"/>
      <c r="N14" s="23"/>
      <c r="O14" s="23">
        <f t="shared" si="2"/>
        <v>4044.4444444444443</v>
      </c>
      <c r="P14" s="24">
        <v>19474.933333333334</v>
      </c>
    </row>
    <row r="15" spans="1:20">
      <c r="A15" s="19" t="s">
        <v>18</v>
      </c>
      <c r="B15" s="20" t="s">
        <v>514</v>
      </c>
      <c r="C15" s="20" t="s">
        <v>4</v>
      </c>
      <c r="D15" s="21">
        <v>200</v>
      </c>
      <c r="E15" s="22">
        <v>14</v>
      </c>
      <c r="F15" s="22">
        <v>2.2000000000000002</v>
      </c>
      <c r="G15" s="22">
        <v>4</v>
      </c>
      <c r="H15" s="20" t="s">
        <v>0</v>
      </c>
      <c r="I15" s="20" t="s">
        <v>0</v>
      </c>
      <c r="J15" s="23">
        <v>6800</v>
      </c>
      <c r="K15" s="23">
        <f t="shared" si="0"/>
        <v>4760</v>
      </c>
      <c r="L15" s="23">
        <f t="shared" si="1"/>
        <v>748.00000000000011</v>
      </c>
      <c r="M15" s="23"/>
      <c r="N15" s="23"/>
      <c r="O15" s="23">
        <f t="shared" si="2"/>
        <v>1360</v>
      </c>
      <c r="P15" s="24">
        <v>6314.76</v>
      </c>
    </row>
    <row r="16" spans="1:20">
      <c r="A16" s="19" t="s">
        <v>19</v>
      </c>
      <c r="B16" s="20" t="s">
        <v>483</v>
      </c>
      <c r="C16" s="20" t="s">
        <v>4</v>
      </c>
      <c r="D16" s="21">
        <v>180</v>
      </c>
      <c r="E16" s="22">
        <v>14</v>
      </c>
      <c r="F16" s="22">
        <v>2.2000000000000002</v>
      </c>
      <c r="G16" s="22">
        <v>5</v>
      </c>
      <c r="H16" s="20" t="s">
        <v>0</v>
      </c>
      <c r="I16" s="20" t="s">
        <v>532</v>
      </c>
      <c r="J16" s="23">
        <v>9800</v>
      </c>
      <c r="K16" s="23">
        <f t="shared" si="0"/>
        <v>7622.2222222222217</v>
      </c>
      <c r="L16" s="23">
        <f t="shared" si="1"/>
        <v>1197.7777777777778</v>
      </c>
      <c r="M16" s="23"/>
      <c r="N16" s="23">
        <f>1*235385</f>
        <v>235385</v>
      </c>
      <c r="O16" s="23">
        <f t="shared" si="2"/>
        <v>2722.2222222222222</v>
      </c>
      <c r="P16" s="24">
        <v>16568</v>
      </c>
    </row>
    <row r="17" spans="1:16">
      <c r="A17" s="19" t="s">
        <v>20</v>
      </c>
      <c r="B17" s="20" t="s">
        <v>527</v>
      </c>
      <c r="C17" s="20" t="s">
        <v>4</v>
      </c>
      <c r="D17" s="21">
        <v>0</v>
      </c>
      <c r="E17" s="22">
        <v>0</v>
      </c>
      <c r="F17" s="22">
        <v>0</v>
      </c>
      <c r="G17" s="22">
        <v>0</v>
      </c>
      <c r="H17" s="20" t="s">
        <v>0</v>
      </c>
      <c r="I17" s="20" t="s">
        <v>0</v>
      </c>
      <c r="J17" s="23">
        <v>0</v>
      </c>
      <c r="K17" s="23"/>
      <c r="L17" s="23"/>
      <c r="M17" s="23"/>
      <c r="N17" s="23"/>
      <c r="O17" s="23"/>
      <c r="P17" s="24">
        <v>56246</v>
      </c>
    </row>
    <row r="18" spans="1:16">
      <c r="A18" s="19" t="s">
        <v>21</v>
      </c>
      <c r="B18" s="20" t="s">
        <v>531</v>
      </c>
      <c r="C18" s="20" t="s">
        <v>4</v>
      </c>
      <c r="D18" s="21">
        <v>200</v>
      </c>
      <c r="E18" s="22">
        <v>14</v>
      </c>
      <c r="F18" s="22">
        <v>2.5</v>
      </c>
      <c r="G18" s="22">
        <v>4</v>
      </c>
      <c r="H18" s="20" t="s">
        <v>0</v>
      </c>
      <c r="I18" s="20" t="s">
        <v>0</v>
      </c>
      <c r="J18" s="23">
        <v>68900</v>
      </c>
      <c r="K18" s="23">
        <f>J18*(1-0.1)*E18/D18*10</f>
        <v>43407</v>
      </c>
      <c r="L18" s="23">
        <f t="shared" ref="L18:L24" si="3">J18*F18/D18*10</f>
        <v>8612.5</v>
      </c>
      <c r="M18" s="23"/>
      <c r="N18" s="23"/>
      <c r="O18" s="23">
        <f t="shared" ref="O18:O24" si="4">J18*G18/D18*10</f>
        <v>13780</v>
      </c>
      <c r="P18" s="24">
        <v>61220.35</v>
      </c>
    </row>
    <row r="19" spans="1:16">
      <c r="A19" s="19" t="s">
        <v>23</v>
      </c>
      <c r="B19" s="20" t="s">
        <v>503</v>
      </c>
      <c r="C19" s="20" t="s">
        <v>4</v>
      </c>
      <c r="D19" s="21">
        <v>200</v>
      </c>
      <c r="E19" s="22">
        <v>14</v>
      </c>
      <c r="F19" s="22">
        <v>3.5</v>
      </c>
      <c r="G19" s="22">
        <v>4</v>
      </c>
      <c r="H19" s="20" t="s">
        <v>0</v>
      </c>
      <c r="I19" s="20" t="s">
        <v>0</v>
      </c>
      <c r="J19" s="23">
        <v>6600</v>
      </c>
      <c r="K19" s="23">
        <f>J19*E19/D19*10</f>
        <v>4620</v>
      </c>
      <c r="L19" s="23">
        <f t="shared" si="3"/>
        <v>1155</v>
      </c>
      <c r="M19" s="23"/>
      <c r="N19" s="23"/>
      <c r="O19" s="23">
        <f t="shared" si="4"/>
        <v>1320</v>
      </c>
      <c r="P19" s="24">
        <v>6621.125</v>
      </c>
    </row>
    <row r="20" spans="1:16">
      <c r="A20" s="19" t="s">
        <v>31</v>
      </c>
      <c r="B20" s="20" t="s">
        <v>522</v>
      </c>
      <c r="C20" s="20" t="s">
        <v>4</v>
      </c>
      <c r="D20" s="21">
        <v>220</v>
      </c>
      <c r="E20" s="22">
        <v>14</v>
      </c>
      <c r="F20" s="22">
        <v>4.0999999999999996</v>
      </c>
      <c r="G20" s="22">
        <v>4</v>
      </c>
      <c r="H20" s="20" t="s">
        <v>533</v>
      </c>
      <c r="I20" s="20" t="s">
        <v>534</v>
      </c>
      <c r="J20" s="23">
        <v>22700</v>
      </c>
      <c r="K20" s="23">
        <f>J20*E20/D20*10</f>
        <v>14445.454545454544</v>
      </c>
      <c r="L20" s="23">
        <f t="shared" si="3"/>
        <v>4230.454545454545</v>
      </c>
      <c r="M20" s="23">
        <f>4*1685*1.07</f>
        <v>7211.8</v>
      </c>
      <c r="N20" s="23">
        <f>1*199385</f>
        <v>199385</v>
      </c>
      <c r="O20" s="23">
        <f t="shared" si="4"/>
        <v>4127.2727272727279</v>
      </c>
      <c r="P20" s="24">
        <f>ROUND(K20+L20+M20+N20+O20,1)</f>
        <v>229400</v>
      </c>
    </row>
    <row r="21" spans="1:16">
      <c r="A21" s="19" t="s">
        <v>37</v>
      </c>
      <c r="B21" s="20" t="s">
        <v>511</v>
      </c>
      <c r="C21" s="20" t="s">
        <v>4</v>
      </c>
      <c r="D21" s="21">
        <v>200</v>
      </c>
      <c r="E21" s="22">
        <v>14</v>
      </c>
      <c r="F21" s="22">
        <v>4.5</v>
      </c>
      <c r="G21" s="22">
        <v>4</v>
      </c>
      <c r="H21" s="20" t="s">
        <v>0</v>
      </c>
      <c r="I21" s="20" t="s">
        <v>0</v>
      </c>
      <c r="J21" s="23">
        <v>3300</v>
      </c>
      <c r="K21" s="23">
        <f>J21*E21/D21*10</f>
        <v>2310</v>
      </c>
      <c r="L21" s="23">
        <f t="shared" si="3"/>
        <v>742.5</v>
      </c>
      <c r="M21" s="23"/>
      <c r="N21" s="23"/>
      <c r="O21" s="23">
        <f t="shared" si="4"/>
        <v>660</v>
      </c>
      <c r="P21" s="24">
        <v>3499.3</v>
      </c>
    </row>
    <row r="22" spans="1:16">
      <c r="A22" s="19" t="s">
        <v>42</v>
      </c>
      <c r="B22" s="20" t="s">
        <v>523</v>
      </c>
      <c r="C22" s="20" t="s">
        <v>4</v>
      </c>
      <c r="D22" s="21">
        <v>200</v>
      </c>
      <c r="E22" s="22">
        <v>14</v>
      </c>
      <c r="F22" s="22">
        <v>3.5</v>
      </c>
      <c r="G22" s="22">
        <v>4</v>
      </c>
      <c r="H22" s="20" t="s">
        <v>0</v>
      </c>
      <c r="I22" s="20" t="s">
        <v>0</v>
      </c>
      <c r="J22" s="23">
        <v>58500</v>
      </c>
      <c r="K22" s="23">
        <f>J22*(1-0.1)*E22/D22*10</f>
        <v>36855</v>
      </c>
      <c r="L22" s="23">
        <f t="shared" si="3"/>
        <v>10237.5</v>
      </c>
      <c r="M22" s="23"/>
      <c r="N22" s="23"/>
      <c r="O22" s="23">
        <f t="shared" si="4"/>
        <v>11700</v>
      </c>
      <c r="P22" s="24">
        <v>55333.574999999997</v>
      </c>
    </row>
    <row r="23" spans="1:16">
      <c r="A23" s="19" t="s">
        <v>46</v>
      </c>
      <c r="B23" s="20" t="s">
        <v>465</v>
      </c>
      <c r="C23" s="20" t="s">
        <v>4</v>
      </c>
      <c r="D23" s="21">
        <v>180</v>
      </c>
      <c r="E23" s="22">
        <v>15</v>
      </c>
      <c r="F23" s="22">
        <v>5</v>
      </c>
      <c r="G23" s="22">
        <v>5</v>
      </c>
      <c r="H23" s="20" t="s">
        <v>0</v>
      </c>
      <c r="I23" s="20" t="s">
        <v>0</v>
      </c>
      <c r="J23" s="23">
        <v>0</v>
      </c>
      <c r="K23" s="23">
        <f>J23*E23/D23*10</f>
        <v>0</v>
      </c>
      <c r="L23" s="23">
        <f t="shared" si="3"/>
        <v>0</v>
      </c>
      <c r="M23" s="23"/>
      <c r="N23" s="23"/>
      <c r="O23" s="23">
        <f t="shared" si="4"/>
        <v>0</v>
      </c>
      <c r="P23" s="24">
        <v>80222.222222222219</v>
      </c>
    </row>
    <row r="24" spans="1:16">
      <c r="A24" s="19" t="s">
        <v>50</v>
      </c>
      <c r="B24" s="20" t="s">
        <v>497</v>
      </c>
      <c r="C24" s="20" t="s">
        <v>4</v>
      </c>
      <c r="D24" s="21">
        <v>200</v>
      </c>
      <c r="E24" s="22">
        <v>14</v>
      </c>
      <c r="F24" s="22">
        <v>3</v>
      </c>
      <c r="G24" s="22">
        <v>4</v>
      </c>
      <c r="H24" s="20" t="s">
        <v>0</v>
      </c>
      <c r="I24" s="20" t="s">
        <v>0</v>
      </c>
      <c r="J24" s="23">
        <v>15600</v>
      </c>
      <c r="K24" s="23">
        <f>J24*E24/D24*10</f>
        <v>10920</v>
      </c>
      <c r="L24" s="23">
        <f t="shared" si="3"/>
        <v>2340</v>
      </c>
      <c r="M24" s="23"/>
      <c r="N24" s="23"/>
      <c r="O24" s="23">
        <f t="shared" si="4"/>
        <v>3120</v>
      </c>
      <c r="P24" s="24">
        <v>15203.1</v>
      </c>
    </row>
    <row r="25" spans="1:16">
      <c r="A25" s="19" t="s">
        <v>53</v>
      </c>
      <c r="B25" s="20" t="s">
        <v>504</v>
      </c>
      <c r="C25" s="20" t="s">
        <v>4</v>
      </c>
      <c r="D25" s="21">
        <v>0</v>
      </c>
      <c r="E25" s="22">
        <v>0</v>
      </c>
      <c r="F25" s="22">
        <v>0</v>
      </c>
      <c r="G25" s="22">
        <v>0</v>
      </c>
      <c r="H25" s="20" t="s">
        <v>0</v>
      </c>
      <c r="I25" s="20" t="s">
        <v>0</v>
      </c>
      <c r="J25" s="23">
        <v>0</v>
      </c>
      <c r="K25" s="23"/>
      <c r="L25" s="23"/>
      <c r="M25" s="23"/>
      <c r="N25" s="23"/>
      <c r="O25" s="23"/>
      <c r="P25" s="24">
        <v>569293.42000000004</v>
      </c>
    </row>
    <row r="26" spans="1:16">
      <c r="A26" s="19" t="s">
        <v>56</v>
      </c>
      <c r="B26" s="20" t="s">
        <v>481</v>
      </c>
      <c r="C26" s="20" t="s">
        <v>4</v>
      </c>
      <c r="D26" s="21">
        <v>140</v>
      </c>
      <c r="E26" s="22">
        <v>14</v>
      </c>
      <c r="F26" s="22">
        <v>4.2</v>
      </c>
      <c r="G26" s="22">
        <v>5</v>
      </c>
      <c r="H26" s="20" t="s">
        <v>535</v>
      </c>
      <c r="I26" s="20" t="s">
        <v>534</v>
      </c>
      <c r="J26" s="23">
        <v>7300</v>
      </c>
      <c r="K26" s="23">
        <f>J26*E26/D26*10</f>
        <v>7300</v>
      </c>
      <c r="L26" s="23">
        <f>J26*F26/D26*10</f>
        <v>2190</v>
      </c>
      <c r="M26" s="23">
        <f>2*14600*1.05</f>
        <v>30660</v>
      </c>
      <c r="N26" s="23">
        <f>1*199385</f>
        <v>199385</v>
      </c>
      <c r="O26" s="23">
        <f>J26*G26/D26*10</f>
        <v>2607.1428571428573</v>
      </c>
      <c r="P26" s="24">
        <f>ROUND(K26+L26+M26+N26+O26,1)</f>
        <v>242142.1</v>
      </c>
    </row>
    <row r="27" spans="1:16">
      <c r="A27" s="19" t="s">
        <v>61</v>
      </c>
      <c r="B27" s="20" t="s">
        <v>425</v>
      </c>
      <c r="C27" s="20" t="s">
        <v>4</v>
      </c>
      <c r="D27" s="21">
        <v>0</v>
      </c>
      <c r="E27" s="22">
        <v>0</v>
      </c>
      <c r="F27" s="22">
        <v>0</v>
      </c>
      <c r="G27" s="22">
        <v>0</v>
      </c>
      <c r="H27" s="20" t="s">
        <v>0</v>
      </c>
      <c r="I27" s="20" t="s">
        <v>0</v>
      </c>
      <c r="J27" s="23">
        <v>0</v>
      </c>
      <c r="K27" s="23"/>
      <c r="L27" s="23"/>
      <c r="M27" s="23"/>
      <c r="N27" s="23"/>
      <c r="O27" s="23"/>
      <c r="P27" s="24">
        <v>14767</v>
      </c>
    </row>
    <row r="28" spans="1:16">
      <c r="A28" s="19" t="s">
        <v>66</v>
      </c>
      <c r="B28" s="20" t="s">
        <v>436</v>
      </c>
      <c r="C28" s="20" t="s">
        <v>4</v>
      </c>
      <c r="D28" s="21">
        <v>180</v>
      </c>
      <c r="E28" s="22">
        <v>14</v>
      </c>
      <c r="F28" s="22">
        <v>1.8</v>
      </c>
      <c r="G28" s="22">
        <v>4</v>
      </c>
      <c r="H28" s="20" t="s">
        <v>0</v>
      </c>
      <c r="I28" s="20" t="s">
        <v>0</v>
      </c>
      <c r="J28" s="23">
        <v>156000</v>
      </c>
      <c r="K28" s="23">
        <f>J28*(1-0.1)*E28/D28*10</f>
        <v>109200</v>
      </c>
      <c r="L28" s="23">
        <f t="shared" ref="L28:L33" si="5">J28*F28/D28*10</f>
        <v>15600</v>
      </c>
      <c r="M28" s="23"/>
      <c r="N28" s="23"/>
      <c r="O28" s="23">
        <f t="shared" ref="O28:O33" si="6">J28*G28/D28*10</f>
        <v>34666.666666666664</v>
      </c>
      <c r="P28" s="24">
        <v>147060</v>
      </c>
    </row>
    <row r="29" spans="1:16">
      <c r="A29" s="19" t="s">
        <v>70</v>
      </c>
      <c r="B29" s="20" t="s">
        <v>525</v>
      </c>
      <c r="C29" s="20" t="s">
        <v>4</v>
      </c>
      <c r="D29" s="21">
        <v>200</v>
      </c>
      <c r="E29" s="22">
        <v>14</v>
      </c>
      <c r="F29" s="22">
        <v>3</v>
      </c>
      <c r="G29" s="22">
        <v>4</v>
      </c>
      <c r="H29" s="20" t="s">
        <v>0</v>
      </c>
      <c r="I29" s="20" t="s">
        <v>0</v>
      </c>
      <c r="J29" s="23">
        <v>27300</v>
      </c>
      <c r="K29" s="23">
        <f>J29*E29/D29*10</f>
        <v>19110</v>
      </c>
      <c r="L29" s="23">
        <f t="shared" si="5"/>
        <v>4095</v>
      </c>
      <c r="M29" s="23"/>
      <c r="N29" s="23"/>
      <c r="O29" s="23">
        <f t="shared" si="6"/>
        <v>5460</v>
      </c>
      <c r="P29" s="24">
        <v>25040</v>
      </c>
    </row>
    <row r="30" spans="1:16">
      <c r="A30" s="19" t="s">
        <v>73</v>
      </c>
      <c r="B30" s="20" t="s">
        <v>530</v>
      </c>
      <c r="C30" s="20" t="s">
        <v>4</v>
      </c>
      <c r="D30" s="21">
        <v>230</v>
      </c>
      <c r="E30" s="22">
        <v>18</v>
      </c>
      <c r="F30" s="22">
        <v>4.3</v>
      </c>
      <c r="G30" s="22">
        <v>5</v>
      </c>
      <c r="H30" s="20" t="s">
        <v>134</v>
      </c>
      <c r="I30" s="20" t="s">
        <v>536</v>
      </c>
      <c r="J30" s="23">
        <v>533500</v>
      </c>
      <c r="K30" s="23">
        <f>J30*(1-0.1)*E30/D30*10</f>
        <v>375769.5652173913</v>
      </c>
      <c r="L30" s="23">
        <f t="shared" si="5"/>
        <v>99741.304347826081</v>
      </c>
      <c r="M30" s="23">
        <f>34*14600*1.05</f>
        <v>521220</v>
      </c>
      <c r="N30" s="23">
        <f>1*277846</f>
        <v>277846</v>
      </c>
      <c r="O30" s="23">
        <f t="shared" si="6"/>
        <v>115978.26086956522</v>
      </c>
      <c r="P30" s="24">
        <f>ROUND(K30+L30+M30+N30+O30,1)</f>
        <v>1390555.1</v>
      </c>
    </row>
    <row r="31" spans="1:16">
      <c r="A31" s="19" t="s">
        <v>77</v>
      </c>
      <c r="B31" s="20" t="s">
        <v>513</v>
      </c>
      <c r="C31" s="20" t="s">
        <v>4</v>
      </c>
      <c r="D31" s="21">
        <v>200</v>
      </c>
      <c r="E31" s="22">
        <v>14</v>
      </c>
      <c r="F31" s="22">
        <v>4.5</v>
      </c>
      <c r="G31" s="22">
        <v>4</v>
      </c>
      <c r="H31" s="20" t="s">
        <v>0</v>
      </c>
      <c r="I31" s="20" t="s">
        <v>0</v>
      </c>
      <c r="J31" s="23">
        <v>5500</v>
      </c>
      <c r="K31" s="23">
        <f>J31*E31/D31*10</f>
        <v>3850</v>
      </c>
      <c r="L31" s="23">
        <f t="shared" si="5"/>
        <v>1237.5</v>
      </c>
      <c r="M31" s="23"/>
      <c r="N31" s="23"/>
      <c r="O31" s="23">
        <f t="shared" si="6"/>
        <v>1100</v>
      </c>
      <c r="P31" s="24">
        <v>5833.1</v>
      </c>
    </row>
    <row r="32" spans="1:16">
      <c r="A32" s="19" t="s">
        <v>80</v>
      </c>
      <c r="B32" s="20" t="s">
        <v>524</v>
      </c>
      <c r="C32" s="20" t="s">
        <v>4</v>
      </c>
      <c r="D32" s="21">
        <v>200</v>
      </c>
      <c r="E32" s="22">
        <v>14</v>
      </c>
      <c r="F32" s="22">
        <v>2.2000000000000002</v>
      </c>
      <c r="G32" s="22">
        <v>4</v>
      </c>
      <c r="H32" s="20" t="s">
        <v>537</v>
      </c>
      <c r="I32" s="20" t="s">
        <v>0</v>
      </c>
      <c r="J32" s="23">
        <v>145600</v>
      </c>
      <c r="K32" s="23">
        <f>J32*(1-0.1)*E32/D32*10</f>
        <v>91728</v>
      </c>
      <c r="L32" s="23">
        <f t="shared" si="5"/>
        <v>16016</v>
      </c>
      <c r="M32" s="23">
        <f>7.2*1685*1.07</f>
        <v>12981.240000000002</v>
      </c>
      <c r="N32" s="23"/>
      <c r="O32" s="23">
        <f t="shared" si="6"/>
        <v>29120</v>
      </c>
      <c r="P32" s="24">
        <v>126867.56</v>
      </c>
    </row>
    <row r="33" spans="1:16">
      <c r="A33" s="19" t="s">
        <v>81</v>
      </c>
      <c r="B33" s="20" t="s">
        <v>510</v>
      </c>
      <c r="C33" s="20" t="s">
        <v>4</v>
      </c>
      <c r="D33" s="21">
        <v>200</v>
      </c>
      <c r="E33" s="22">
        <v>14</v>
      </c>
      <c r="F33" s="22">
        <v>4.5</v>
      </c>
      <c r="G33" s="22">
        <v>4</v>
      </c>
      <c r="H33" s="20" t="s">
        <v>0</v>
      </c>
      <c r="I33" s="20" t="s">
        <v>0</v>
      </c>
      <c r="J33" s="23">
        <v>10700</v>
      </c>
      <c r="K33" s="23">
        <f>J33*E33/D33*10</f>
        <v>7490</v>
      </c>
      <c r="L33" s="23">
        <f t="shared" si="5"/>
        <v>2407.5</v>
      </c>
      <c r="M33" s="23"/>
      <c r="N33" s="23"/>
      <c r="O33" s="23">
        <f t="shared" si="6"/>
        <v>2140</v>
      </c>
      <c r="P33" s="24">
        <v>11347.9</v>
      </c>
    </row>
    <row r="34" spans="1:16">
      <c r="A34" s="19" t="s">
        <v>83</v>
      </c>
      <c r="B34" s="20" t="s">
        <v>493</v>
      </c>
      <c r="C34" s="20" t="s">
        <v>4</v>
      </c>
      <c r="D34" s="21">
        <v>0</v>
      </c>
      <c r="E34" s="22">
        <v>0</v>
      </c>
      <c r="F34" s="22">
        <v>0</v>
      </c>
      <c r="G34" s="22">
        <v>0</v>
      </c>
      <c r="H34" s="20" t="s">
        <v>0</v>
      </c>
      <c r="I34" s="20" t="s">
        <v>0</v>
      </c>
      <c r="J34" s="23">
        <v>0</v>
      </c>
      <c r="K34" s="23"/>
      <c r="L34" s="23"/>
      <c r="M34" s="23"/>
      <c r="N34" s="23"/>
      <c r="O34" s="23"/>
      <c r="P34" s="24">
        <v>11347.9</v>
      </c>
    </row>
    <row r="35" spans="1:16">
      <c r="A35" s="19" t="s">
        <v>123</v>
      </c>
      <c r="B35" s="20" t="s">
        <v>480</v>
      </c>
      <c r="C35" s="20" t="s">
        <v>4</v>
      </c>
      <c r="D35" s="21">
        <v>220</v>
      </c>
      <c r="E35" s="22">
        <v>16</v>
      </c>
      <c r="F35" s="22">
        <v>6.2</v>
      </c>
      <c r="G35" s="22">
        <v>6</v>
      </c>
      <c r="H35" s="20" t="s">
        <v>133</v>
      </c>
      <c r="I35" s="20" t="s">
        <v>538</v>
      </c>
      <c r="J35" s="23">
        <v>528600</v>
      </c>
      <c r="K35" s="23">
        <f>J35*(1-0.1)*E35/D35*10</f>
        <v>345992.72727272729</v>
      </c>
      <c r="L35" s="23">
        <f>J35*F35/D35*10</f>
        <v>148969.09090909091</v>
      </c>
      <c r="M35" s="23">
        <f>41*14600*1.05</f>
        <v>628530</v>
      </c>
      <c r="N35" s="23">
        <f>1*317538</f>
        <v>317538</v>
      </c>
      <c r="O35" s="23">
        <f>J35*G35/D35*10</f>
        <v>144163.63636363635</v>
      </c>
      <c r="P35" s="24">
        <f>ROUND(K35+L35+M35+N35+O35,1)</f>
        <v>1585193.5</v>
      </c>
    </row>
    <row r="36" spans="1:16" ht="13.5" thickBot="1">
      <c r="A36" s="25" t="s">
        <v>0</v>
      </c>
      <c r="B36" s="26" t="s">
        <v>0</v>
      </c>
      <c r="C36" s="26" t="s">
        <v>0</v>
      </c>
      <c r="D36" s="27">
        <v>0</v>
      </c>
      <c r="E36" s="28">
        <v>0</v>
      </c>
      <c r="F36" s="28">
        <v>0</v>
      </c>
      <c r="G36" s="28">
        <v>0</v>
      </c>
      <c r="H36" s="26" t="s">
        <v>0</v>
      </c>
      <c r="I36" s="26" t="s">
        <v>0</v>
      </c>
      <c r="J36" s="29">
        <v>0</v>
      </c>
      <c r="K36" s="29">
        <v>0</v>
      </c>
      <c r="L36" s="29">
        <v>0</v>
      </c>
      <c r="M36" s="29">
        <v>0</v>
      </c>
      <c r="N36" s="29">
        <v>0</v>
      </c>
      <c r="O36" s="29">
        <v>0</v>
      </c>
      <c r="P36" s="30">
        <v>0</v>
      </c>
    </row>
    <row r="37" spans="1:16">
      <c r="A37" s="1117" t="s">
        <v>12</v>
      </c>
      <c r="B37" s="1118" t="s">
        <v>1906</v>
      </c>
      <c r="C37" s="1118" t="s">
        <v>4</v>
      </c>
      <c r="D37" s="1119">
        <v>200</v>
      </c>
      <c r="E37" s="1120">
        <v>10</v>
      </c>
      <c r="F37" s="1120">
        <v>3.5</v>
      </c>
      <c r="G37" s="1120">
        <v>4</v>
      </c>
      <c r="H37" s="1118" t="s">
        <v>0</v>
      </c>
      <c r="I37" s="1118" t="s">
        <v>0</v>
      </c>
      <c r="J37" s="1121">
        <v>500</v>
      </c>
      <c r="K37" s="1121">
        <f>J37*E37/D37*10</f>
        <v>250</v>
      </c>
      <c r="L37" s="1121">
        <f t="shared" ref="L37" si="7">J37*F37/D37*10</f>
        <v>87.5</v>
      </c>
      <c r="M37" s="1121"/>
      <c r="N37" s="1121"/>
      <c r="O37" s="1121">
        <f t="shared" ref="O37" si="8">J37*G37/D37*10</f>
        <v>100</v>
      </c>
      <c r="P37" s="1122">
        <f t="shared" ref="P37" si="9">ROUND(K37+L37+M37+N37+O37,1)</f>
        <v>437.5</v>
      </c>
    </row>
    <row r="39" spans="1:16">
      <c r="A39" s="1117" t="s">
        <v>10</v>
      </c>
      <c r="B39" s="1118" t="s">
        <v>1908</v>
      </c>
      <c r="C39" s="1118" t="s">
        <v>4</v>
      </c>
      <c r="D39" s="1119">
        <v>200</v>
      </c>
      <c r="E39" s="1120">
        <v>10</v>
      </c>
      <c r="F39" s="1120">
        <v>1.8</v>
      </c>
      <c r="G39" s="1120">
        <v>4</v>
      </c>
      <c r="H39" s="1118" t="s">
        <v>0</v>
      </c>
      <c r="I39" s="1118" t="s">
        <v>0</v>
      </c>
      <c r="J39" s="1121">
        <v>5618</v>
      </c>
      <c r="K39" s="1121">
        <f>J39*E39/D39*10</f>
        <v>2809</v>
      </c>
      <c r="L39" s="1121">
        <f t="shared" ref="L39:L42" si="10">J39*F39/D39*10</f>
        <v>505.62</v>
      </c>
      <c r="M39" s="1121"/>
      <c r="N39" s="1121"/>
      <c r="O39" s="1121">
        <f t="shared" ref="O39:O42" si="11">J39*G39/D39*10</f>
        <v>1123.5999999999999</v>
      </c>
      <c r="P39" s="1122">
        <f t="shared" ref="P39:P42" si="12">ROUND(K39+L39+M39+N39+O39,1)</f>
        <v>4438.2</v>
      </c>
    </row>
    <row r="40" spans="1:16">
      <c r="A40" s="1117">
        <v>6</v>
      </c>
      <c r="B40" s="1118" t="s">
        <v>1909</v>
      </c>
      <c r="C40" s="1118" t="s">
        <v>4</v>
      </c>
      <c r="D40" s="1119">
        <v>200</v>
      </c>
      <c r="E40" s="1120">
        <v>10</v>
      </c>
      <c r="F40" s="1120">
        <v>3.5</v>
      </c>
      <c r="G40" s="1120">
        <v>4</v>
      </c>
      <c r="H40" s="1118" t="s">
        <v>0</v>
      </c>
      <c r="I40" s="1118" t="s">
        <v>0</v>
      </c>
      <c r="J40" s="1121">
        <v>6306</v>
      </c>
      <c r="K40" s="1121">
        <f>J40*E40/D40*10</f>
        <v>3153</v>
      </c>
      <c r="L40" s="1121">
        <f t="shared" si="10"/>
        <v>1103.55</v>
      </c>
      <c r="M40" s="1121"/>
      <c r="N40" s="1121"/>
      <c r="O40" s="1121">
        <f t="shared" si="11"/>
        <v>1261.2</v>
      </c>
      <c r="P40" s="1122">
        <f t="shared" si="12"/>
        <v>5517.8</v>
      </c>
    </row>
    <row r="41" spans="1:16">
      <c r="A41" s="1117" t="s">
        <v>11</v>
      </c>
      <c r="B41" s="1118" t="s">
        <v>1910</v>
      </c>
      <c r="C41" s="1118" t="s">
        <v>4</v>
      </c>
      <c r="D41" s="1119">
        <v>200</v>
      </c>
      <c r="E41" s="1120">
        <v>10</v>
      </c>
      <c r="F41" s="1120">
        <v>2.5</v>
      </c>
      <c r="G41" s="1120">
        <v>4</v>
      </c>
      <c r="H41" s="1118" t="s">
        <v>0</v>
      </c>
      <c r="I41" s="1118" t="s">
        <v>0</v>
      </c>
      <c r="J41" s="1121">
        <v>18000</v>
      </c>
      <c r="K41" s="1121">
        <f>J41*E41/D41*10</f>
        <v>9000</v>
      </c>
      <c r="L41" s="1121">
        <f t="shared" si="10"/>
        <v>2250</v>
      </c>
      <c r="M41" s="1121"/>
      <c r="N41" s="1121"/>
      <c r="O41" s="1121">
        <f t="shared" si="11"/>
        <v>3600</v>
      </c>
      <c r="P41" s="1122">
        <f t="shared" si="12"/>
        <v>14850</v>
      </c>
    </row>
    <row r="42" spans="1:16">
      <c r="A42" s="1117">
        <v>11</v>
      </c>
      <c r="B42" s="1118" t="s">
        <v>1912</v>
      </c>
      <c r="C42" s="1118" t="s">
        <v>4</v>
      </c>
      <c r="D42" s="1119">
        <v>200</v>
      </c>
      <c r="E42" s="1120">
        <v>10</v>
      </c>
      <c r="F42" s="1120">
        <v>3.5</v>
      </c>
      <c r="G42" s="1120">
        <v>4</v>
      </c>
      <c r="H42" s="1118" t="s">
        <v>0</v>
      </c>
      <c r="I42" s="1118" t="s">
        <v>0</v>
      </c>
      <c r="J42" s="1121">
        <v>15000</v>
      </c>
      <c r="K42" s="1121">
        <f>J42*E42/D42*10</f>
        <v>7500</v>
      </c>
      <c r="L42" s="1121">
        <f t="shared" si="10"/>
        <v>2625</v>
      </c>
      <c r="M42" s="1121"/>
      <c r="N42" s="1121"/>
      <c r="O42" s="1121">
        <f t="shared" si="11"/>
        <v>3000</v>
      </c>
      <c r="P42" s="1122">
        <f t="shared" si="12"/>
        <v>13125</v>
      </c>
    </row>
  </sheetData>
  <mergeCells count="1">
    <mergeCell ref="A1:P1"/>
  </mergeCells>
  <phoneticPr fontId="18" type="noConversion"/>
  <printOptions horizontalCentered="1"/>
  <pageMargins left="0.42" right="0.4" top="0.7" bottom="0.7" header="0.5" footer="0.5"/>
  <pageSetup paperSize="9" orientation="landscape" verticalDpi="0" r:id="rId1"/>
</worksheet>
</file>

<file path=xl/worksheets/sheet2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7065B-065C-4A89-97DC-FF318731CD40}">
  <sheetPr>
    <tabColor theme="9" tint="0.59999389629810485"/>
  </sheetPr>
  <dimension ref="A1:AB46"/>
  <sheetViews>
    <sheetView zoomScale="130" zoomScaleNormal="130" workbookViewId="0">
      <pane xSplit="3" ySplit="5" topLeftCell="D27" activePane="bottomRight" state="frozen"/>
      <selection activeCell="H77" sqref="H77"/>
      <selection pane="topRight" activeCell="H77" sqref="H77"/>
      <selection pane="bottomLeft" activeCell="H77" sqref="H77"/>
      <selection pane="bottomRight" activeCell="H77" sqref="H77"/>
    </sheetView>
  </sheetViews>
  <sheetFormatPr defaultColWidth="8.75" defaultRowHeight="15"/>
  <cols>
    <col min="1" max="1" width="3.625" style="67" customWidth="1"/>
    <col min="2" max="2" width="39.75" style="66" customWidth="1"/>
    <col min="3" max="3" width="7.25" style="66" customWidth="1"/>
    <col min="4" max="4" width="16.25" style="66" customWidth="1"/>
    <col min="5" max="5" width="10.5" style="66" hidden="1" customWidth="1"/>
    <col min="6" max="6" width="9.875" style="66" hidden="1" customWidth="1"/>
    <col min="7" max="7" width="10" style="66" hidden="1" customWidth="1"/>
    <col min="8" max="8" width="12.25" style="66" customWidth="1"/>
    <col min="9" max="9" width="12.75" style="66" hidden="1" customWidth="1"/>
    <col min="10" max="10" width="10.75" style="66" customWidth="1"/>
    <col min="11" max="11" width="10.5" style="66" hidden="1" customWidth="1"/>
    <col min="12" max="12" width="11.125" style="66" hidden="1" customWidth="1"/>
    <col min="13" max="13" width="9.75" style="66" hidden="1" customWidth="1"/>
    <col min="14" max="14" width="10.375" style="66" customWidth="1"/>
    <col min="15" max="15" width="10.5" style="66" bestFit="1" customWidth="1"/>
    <col min="16" max="16" width="12.125" style="66" customWidth="1"/>
    <col min="17" max="17" width="10.625" style="66" hidden="1" customWidth="1"/>
    <col min="18" max="19" width="10.375" style="66" hidden="1" customWidth="1"/>
    <col min="20" max="20" width="15" style="66" customWidth="1"/>
    <col min="21" max="21" width="14.375" style="66" customWidth="1"/>
    <col min="22" max="22" width="8.75" style="66" customWidth="1"/>
    <col min="23" max="23" width="10.5" style="66" bestFit="1" customWidth="1"/>
    <col min="24" max="16384" width="8.75" style="66"/>
  </cols>
  <sheetData>
    <row r="1" spans="1:28" ht="25.5" customHeight="1">
      <c r="A1" s="1185" t="s">
        <v>1029</v>
      </c>
      <c r="B1" s="1185"/>
      <c r="C1" s="1185"/>
      <c r="D1" s="1185"/>
      <c r="E1" s="1185"/>
      <c r="F1" s="1185"/>
      <c r="G1" s="1185"/>
      <c r="H1" s="1185"/>
      <c r="I1" s="1185"/>
      <c r="J1" s="1185"/>
      <c r="K1" s="1185"/>
      <c r="L1" s="1185"/>
      <c r="M1" s="1185"/>
      <c r="N1" s="1185"/>
      <c r="O1" s="1185"/>
      <c r="P1" s="1185"/>
      <c r="Q1" s="1185"/>
      <c r="R1" s="1185"/>
      <c r="S1" s="1185"/>
      <c r="T1" s="1185"/>
      <c r="U1" s="65"/>
      <c r="V1" s="65"/>
      <c r="W1" s="65"/>
      <c r="X1" s="65"/>
      <c r="Y1" s="65"/>
      <c r="Z1" s="65"/>
      <c r="AA1" s="65"/>
      <c r="AB1" s="65"/>
    </row>
    <row r="2" spans="1:28" s="863" customFormat="1" ht="16.5">
      <c r="A2" s="1186" t="s">
        <v>1931</v>
      </c>
      <c r="B2" s="1186"/>
      <c r="C2" s="1186"/>
      <c r="D2" s="1186"/>
      <c r="E2" s="1186"/>
      <c r="F2" s="1186"/>
      <c r="G2" s="1186"/>
      <c r="H2" s="1186"/>
      <c r="I2" s="1186"/>
      <c r="J2" s="1186"/>
      <c r="K2" s="1186"/>
      <c r="L2" s="1186"/>
      <c r="M2" s="1186"/>
      <c r="N2" s="1186"/>
      <c r="O2" s="1186"/>
      <c r="P2" s="1186"/>
      <c r="Q2" s="1186"/>
      <c r="R2" s="1186"/>
      <c r="S2" s="1186"/>
      <c r="T2" s="1186"/>
      <c r="U2" s="861"/>
      <c r="V2" s="862"/>
      <c r="W2" s="862"/>
      <c r="X2" s="862"/>
      <c r="Y2" s="862"/>
      <c r="Z2" s="862"/>
      <c r="AA2" s="862"/>
      <c r="AB2" s="862"/>
    </row>
    <row r="3" spans="1:28" s="863" customFormat="1" ht="11.25" customHeight="1" thickBot="1">
      <c r="A3" s="1188"/>
      <c r="B3" s="1188"/>
      <c r="C3" s="1188"/>
      <c r="D3" s="1188"/>
      <c r="E3" s="1188"/>
      <c r="F3" s="1188"/>
      <c r="G3" s="1188"/>
      <c r="H3" s="1188"/>
      <c r="I3" s="1188"/>
      <c r="J3" s="1188"/>
      <c r="K3" s="1188"/>
      <c r="L3" s="1188"/>
      <c r="M3" s="1188"/>
      <c r="N3" s="1188"/>
      <c r="O3" s="1188"/>
      <c r="P3" s="1188"/>
      <c r="Q3" s="1188"/>
      <c r="R3" s="1188"/>
      <c r="S3" s="1188"/>
      <c r="T3" s="1188"/>
      <c r="U3" s="861"/>
      <c r="V3" s="862"/>
      <c r="W3" s="862"/>
      <c r="X3" s="862"/>
      <c r="Y3" s="862"/>
      <c r="Z3" s="862"/>
      <c r="AA3" s="862"/>
      <c r="AB3" s="862"/>
    </row>
    <row r="4" spans="1:28" s="863" customFormat="1" ht="2.25" hidden="1" customHeight="1" thickBot="1">
      <c r="A4" s="1187"/>
      <c r="B4" s="1187"/>
      <c r="C4" s="1187"/>
      <c r="D4" s="1187"/>
      <c r="E4" s="1187"/>
      <c r="F4" s="1187"/>
      <c r="G4" s="1187"/>
      <c r="H4" s="1187"/>
      <c r="I4" s="1187"/>
      <c r="J4" s="1187"/>
      <c r="K4" s="1187"/>
      <c r="L4" s="1187"/>
      <c r="M4" s="1187"/>
      <c r="N4" s="1187"/>
      <c r="O4" s="1187"/>
      <c r="P4" s="1187"/>
      <c r="Q4" s="1187"/>
      <c r="R4" s="1187"/>
      <c r="S4" s="1187"/>
      <c r="T4" s="1187"/>
      <c r="U4" s="862"/>
      <c r="V4" s="864"/>
      <c r="W4" s="864"/>
      <c r="X4" s="862"/>
      <c r="Y4" s="862"/>
      <c r="Z4" s="862"/>
      <c r="AA4" s="862"/>
      <c r="AB4" s="862"/>
    </row>
    <row r="5" spans="1:28" s="863" customFormat="1" ht="53.25" customHeight="1" thickTop="1">
      <c r="A5" s="865" t="s">
        <v>179</v>
      </c>
      <c r="B5" s="866" t="s">
        <v>180</v>
      </c>
      <c r="C5" s="866" t="s">
        <v>181</v>
      </c>
      <c r="D5" s="866" t="s">
        <v>182</v>
      </c>
      <c r="E5" s="866" t="s">
        <v>1740</v>
      </c>
      <c r="F5" s="866" t="s">
        <v>1741</v>
      </c>
      <c r="G5" s="866" t="s">
        <v>1742</v>
      </c>
      <c r="H5" s="866" t="s">
        <v>1928</v>
      </c>
      <c r="I5" s="866" t="s">
        <v>1929</v>
      </c>
      <c r="J5" s="866" t="s">
        <v>1870</v>
      </c>
      <c r="K5" s="866" t="s">
        <v>1025</v>
      </c>
      <c r="L5" s="866" t="s">
        <v>1776</v>
      </c>
      <c r="M5" s="866" t="s">
        <v>1745</v>
      </c>
      <c r="N5" s="866" t="s">
        <v>1983</v>
      </c>
      <c r="O5" s="866" t="s">
        <v>1984</v>
      </c>
      <c r="P5" s="866" t="s">
        <v>184</v>
      </c>
      <c r="Q5" s="866" t="s">
        <v>185</v>
      </c>
      <c r="R5" s="866" t="s">
        <v>186</v>
      </c>
      <c r="S5" s="866" t="s">
        <v>187</v>
      </c>
      <c r="T5" s="867" t="s">
        <v>188</v>
      </c>
      <c r="U5" s="868"/>
      <c r="V5" s="972" t="s">
        <v>1270</v>
      </c>
      <c r="W5" s="973">
        <v>7.33</v>
      </c>
      <c r="X5" s="974">
        <v>15</v>
      </c>
      <c r="Y5" s="974">
        <v>50</v>
      </c>
      <c r="Z5" s="974">
        <v>100</v>
      </c>
      <c r="AA5" s="974">
        <v>300</v>
      </c>
      <c r="AB5" s="974">
        <v>500</v>
      </c>
    </row>
    <row r="6" spans="1:28" s="876" customFormat="1" ht="18" customHeight="1">
      <c r="A6" s="869" t="s">
        <v>189</v>
      </c>
      <c r="B6" s="870" t="s">
        <v>190</v>
      </c>
      <c r="C6" s="871" t="s">
        <v>191</v>
      </c>
      <c r="D6" s="872" t="s">
        <v>205</v>
      </c>
      <c r="E6" s="873" t="e">
        <f t="shared" ref="E6:K6" si="0">SUM(E7:E9)</f>
        <v>#REF!</v>
      </c>
      <c r="F6" s="873" t="e">
        <f t="shared" si="0"/>
        <v>#REF!</v>
      </c>
      <c r="G6" s="873" t="e">
        <f t="shared" si="0"/>
        <v>#REF!</v>
      </c>
      <c r="H6" s="873" t="e">
        <f t="shared" si="0"/>
        <v>#REF!</v>
      </c>
      <c r="I6" s="873" t="e">
        <f t="shared" ref="I6" si="1">SUM(I7:I9)</f>
        <v>#REF!</v>
      </c>
      <c r="J6" s="873" t="e">
        <f t="shared" si="0"/>
        <v>#REF!</v>
      </c>
      <c r="K6" s="873" t="e">
        <f t="shared" si="0"/>
        <v>#REF!</v>
      </c>
      <c r="L6" s="873">
        <f t="shared" ref="L6:S6" si="2">SUM(L7:L9)</f>
        <v>0</v>
      </c>
      <c r="M6" s="873" t="e">
        <f t="shared" si="2"/>
        <v>#REF!</v>
      </c>
      <c r="N6" s="873" t="e">
        <f t="shared" si="2"/>
        <v>#REF!</v>
      </c>
      <c r="O6" s="873" t="e">
        <f t="shared" si="2"/>
        <v>#REF!</v>
      </c>
      <c r="P6" s="873" t="e">
        <f t="shared" si="2"/>
        <v>#REF!</v>
      </c>
      <c r="Q6" s="873">
        <f t="shared" si="2"/>
        <v>0</v>
      </c>
      <c r="R6" s="873">
        <f t="shared" si="2"/>
        <v>0</v>
      </c>
      <c r="S6" s="873">
        <f t="shared" si="2"/>
        <v>0</v>
      </c>
      <c r="T6" s="874" t="e">
        <f>ROUND(SUM(E6:S6),-3)</f>
        <v>#REF!</v>
      </c>
      <c r="U6" s="875"/>
      <c r="V6" s="975" t="s">
        <v>193</v>
      </c>
      <c r="W6" s="976">
        <f>ROUND(IF($W$5&lt;=$X$5,X6,IF(AND($W$5&gt;$X$5,$W$5&lt;=$Y$5),FORECAST($W$5,X6:Y6,$X$5:$Y$5),IF(AND($W$5&gt;$Y$5,$W$5&lt;=$Z$5),FORECAST($W$5,Y6:Z6,$Y$5:$Z$5),IF(AND($W$5&gt;$Z$5,W5&lt;=$AA$5),FORECAST($W$5,Z6:AA6,$Z$5:$AA$5),IF(AND($W$5&gt;$Z$5,W5&lt;=$AA$5),FORECAST($W$5,AA6:AB6,$AA$5:$AB$5),IF($W$5&gt;$AB$5,AB6)))))),3)</f>
        <v>6.2</v>
      </c>
      <c r="X6" s="977">
        <v>6.2</v>
      </c>
      <c r="Y6" s="977">
        <v>6</v>
      </c>
      <c r="Z6" s="977">
        <v>5.6</v>
      </c>
      <c r="AA6" s="977">
        <v>5.3</v>
      </c>
      <c r="AB6" s="977">
        <v>5.0999999999999996</v>
      </c>
    </row>
    <row r="7" spans="1:28" s="876" customFormat="1" ht="18" customHeight="1">
      <c r="A7" s="877">
        <v>1</v>
      </c>
      <c r="B7" s="878" t="s">
        <v>194</v>
      </c>
      <c r="C7" s="879" t="s">
        <v>195</v>
      </c>
      <c r="D7" s="880" t="s">
        <v>196</v>
      </c>
      <c r="E7" s="881" t="e">
        <f>'Du toan chi tiet'!I7</f>
        <v>#REF!</v>
      </c>
      <c r="F7" s="881" t="e">
        <f>'Du toan chi tiet'!I84</f>
        <v>#REF!</v>
      </c>
      <c r="G7" s="881" t="e">
        <f>'Du toan chi tiet'!I138</f>
        <v>#REF!</v>
      </c>
      <c r="H7" s="881" t="e">
        <f>'Du toan chi tiet'!I247</f>
        <v>#REF!</v>
      </c>
      <c r="I7" s="881" t="e">
        <f>'Du toan chi tiet'!I387</f>
        <v>#REF!</v>
      </c>
      <c r="J7" s="881" t="e">
        <f>'Du toan chi tiet'!I422</f>
        <v>#REF!</v>
      </c>
      <c r="K7" s="882" t="e">
        <f>'Du toan chi tiet'!I515</f>
        <v>#REF!</v>
      </c>
      <c r="L7" s="882"/>
      <c r="M7" s="882" t="e">
        <f>'Du toan chi tiet'!I558</f>
        <v>#REF!</v>
      </c>
      <c r="N7" s="882" t="e">
        <f>'Du toan chi tiet'!I735</f>
        <v>#REF!</v>
      </c>
      <c r="O7" s="882" t="e">
        <f>'Du toan chi tiet'!I839</f>
        <v>#REF!</v>
      </c>
      <c r="P7" s="882" t="e">
        <f>'Du toan chi tiet'!I649</f>
        <v>#REF!</v>
      </c>
      <c r="Q7" s="882"/>
      <c r="R7" s="882"/>
      <c r="S7" s="882"/>
      <c r="T7" s="883" t="e">
        <f>+SUM(E7:S7)</f>
        <v>#REF!</v>
      </c>
      <c r="U7" s="884"/>
      <c r="V7" s="975" t="s">
        <v>197</v>
      </c>
      <c r="W7" s="976">
        <f>ROUND(IF($W$5&lt;=$X$5,X7,IF(AND($W$5&gt;$X$5,$W$5&lt;=$Y$5),FORECAST($W$5,X7:Y7,$X$5:$Y$5),IF(AND($W$5&gt;$Y$5,$W$5&lt;=$Z$5),FORECAST($W$5,Y7:Z7,$Y$5:$Z$5),IF(AND($W$5&gt;$Z$5,W6&lt;=$AA$5),FORECAST($W$5,Z7:AA7,$Z$5:$AA$5),IF(AND($W$5&gt;$Z$5,W6&lt;=$AA$5),FORECAST($W$5,AA7:AB7,$AA$5:$AB$5),IF($W$5&gt;$AB$5,AB7)))))),3)</f>
        <v>2.2000000000000002</v>
      </c>
      <c r="X7" s="977">
        <v>2.2000000000000002</v>
      </c>
      <c r="Y7" s="977">
        <v>2.1176470588235294</v>
      </c>
      <c r="Z7" s="977">
        <v>2</v>
      </c>
      <c r="AA7" s="977">
        <v>1.4750000000000001</v>
      </c>
      <c r="AB7" s="977">
        <v>0.95</v>
      </c>
    </row>
    <row r="8" spans="1:28" s="876" customFormat="1" ht="18" customHeight="1">
      <c r="A8" s="885">
        <v>2</v>
      </c>
      <c r="B8" s="878" t="s">
        <v>198</v>
      </c>
      <c r="C8" s="879" t="s">
        <v>199</v>
      </c>
      <c r="D8" s="880" t="s">
        <v>196</v>
      </c>
      <c r="E8" s="881" t="e">
        <f>'Du toan chi tiet'!J7</f>
        <v>#REF!</v>
      </c>
      <c r="F8" s="881" t="e">
        <f>'Du toan chi tiet'!J84</f>
        <v>#REF!</v>
      </c>
      <c r="G8" s="881" t="e">
        <f>'Du toan chi tiet'!J138</f>
        <v>#REF!</v>
      </c>
      <c r="H8" s="881" t="e">
        <f>'Du toan chi tiet'!J247</f>
        <v>#REF!</v>
      </c>
      <c r="I8" s="881" t="e">
        <f>'Du toan chi tiet'!J387</f>
        <v>#REF!</v>
      </c>
      <c r="J8" s="881" t="e">
        <f>'Du toan chi tiet'!J422</f>
        <v>#REF!</v>
      </c>
      <c r="K8" s="882" t="e">
        <f>'Du toan chi tiet'!J515</f>
        <v>#REF!</v>
      </c>
      <c r="L8" s="882"/>
      <c r="M8" s="882" t="e">
        <f>'Du toan chi tiet'!J558</f>
        <v>#REF!</v>
      </c>
      <c r="N8" s="882" t="e">
        <f>'Du toan chi tiet'!J735</f>
        <v>#REF!</v>
      </c>
      <c r="O8" s="882" t="e">
        <f>'Du toan chi tiet'!J839</f>
        <v>#REF!</v>
      </c>
      <c r="P8" s="882" t="e">
        <f>'Du toan chi tiet'!J649</f>
        <v>#REF!</v>
      </c>
      <c r="Q8" s="882"/>
      <c r="R8" s="882"/>
      <c r="S8" s="882"/>
      <c r="T8" s="883" t="e">
        <f t="shared" ref="T8:T17" si="3">+SUM(E8:S8)</f>
        <v>#REF!</v>
      </c>
      <c r="U8" s="884"/>
      <c r="V8" s="886"/>
      <c r="W8" s="886"/>
      <c r="X8" s="886"/>
      <c r="Y8" s="886"/>
      <c r="Z8" s="886"/>
      <c r="AA8" s="886"/>
      <c r="AB8" s="886"/>
    </row>
    <row r="9" spans="1:28" s="876" customFormat="1" ht="18" customHeight="1">
      <c r="A9" s="877">
        <v>3</v>
      </c>
      <c r="B9" s="878" t="s">
        <v>200</v>
      </c>
      <c r="C9" s="879" t="s">
        <v>201</v>
      </c>
      <c r="D9" s="880" t="s">
        <v>196</v>
      </c>
      <c r="E9" s="881" t="e">
        <f>'Du toan chi tiet'!K7</f>
        <v>#REF!</v>
      </c>
      <c r="F9" s="881" t="e">
        <f>'Du toan chi tiet'!K84</f>
        <v>#REF!</v>
      </c>
      <c r="G9" s="881" t="e">
        <f>'Du toan chi tiet'!K138</f>
        <v>#REF!</v>
      </c>
      <c r="H9" s="881" t="e">
        <f>'Du toan chi tiet'!K247</f>
        <v>#REF!</v>
      </c>
      <c r="I9" s="881" t="e">
        <f>'Du toan chi tiet'!K387</f>
        <v>#REF!</v>
      </c>
      <c r="J9" s="881" t="e">
        <f>'Du toan chi tiet'!K422</f>
        <v>#REF!</v>
      </c>
      <c r="K9" s="882" t="e">
        <f>'Du toan chi tiet'!K515</f>
        <v>#REF!</v>
      </c>
      <c r="L9" s="882"/>
      <c r="M9" s="882" t="e">
        <f>'Du toan chi tiet'!K558</f>
        <v>#REF!</v>
      </c>
      <c r="N9" s="882" t="e">
        <f>'Du toan chi tiet'!K735</f>
        <v>#REF!</v>
      </c>
      <c r="O9" s="882" t="e">
        <f>'Du toan chi tiet'!K839</f>
        <v>#REF!</v>
      </c>
      <c r="P9" s="882" t="e">
        <f>'Du toan chi tiet'!K649</f>
        <v>#REF!</v>
      </c>
      <c r="Q9" s="882"/>
      <c r="R9" s="882"/>
      <c r="S9" s="882"/>
      <c r="T9" s="883" t="e">
        <f t="shared" si="3"/>
        <v>#REF!</v>
      </c>
      <c r="U9" s="887"/>
      <c r="V9" s="888"/>
      <c r="W9" s="888"/>
      <c r="X9" s="886"/>
      <c r="Y9" s="886"/>
      <c r="Z9" s="886"/>
      <c r="AA9" s="886"/>
      <c r="AB9" s="886"/>
    </row>
    <row r="10" spans="1:28" s="876" customFormat="1" ht="18" customHeight="1">
      <c r="A10" s="889" t="s">
        <v>202</v>
      </c>
      <c r="B10" s="890" t="s">
        <v>203</v>
      </c>
      <c r="C10" s="879" t="s">
        <v>204</v>
      </c>
      <c r="D10" s="880" t="s">
        <v>586</v>
      </c>
      <c r="E10" s="891" t="e">
        <f>SUM(E11:E14)</f>
        <v>#REF!</v>
      </c>
      <c r="F10" s="891" t="e">
        <f>SUM(F11:F14)</f>
        <v>#REF!</v>
      </c>
      <c r="G10" s="891" t="e">
        <f>SUM(G11:G14)</f>
        <v>#REF!</v>
      </c>
      <c r="H10" s="891" t="e">
        <f t="shared" ref="H10:S10" si="4">SUM(H11:H14)</f>
        <v>#REF!</v>
      </c>
      <c r="I10" s="891" t="e">
        <f t="shared" ref="I10:J10" si="5">SUM(I11:I14)</f>
        <v>#REF!</v>
      </c>
      <c r="J10" s="891" t="e">
        <f t="shared" si="5"/>
        <v>#REF!</v>
      </c>
      <c r="K10" s="891" t="e">
        <f t="shared" si="4"/>
        <v>#REF!</v>
      </c>
      <c r="L10" s="891">
        <f t="shared" si="4"/>
        <v>0</v>
      </c>
      <c r="M10" s="891" t="e">
        <f t="shared" si="4"/>
        <v>#REF!</v>
      </c>
      <c r="N10" s="891" t="e">
        <f t="shared" si="4"/>
        <v>#REF!</v>
      </c>
      <c r="O10" s="891" t="e">
        <f t="shared" si="4"/>
        <v>#REF!</v>
      </c>
      <c r="P10" s="891" t="e">
        <f t="shared" si="4"/>
        <v>#REF!</v>
      </c>
      <c r="Q10" s="891">
        <f t="shared" si="4"/>
        <v>0</v>
      </c>
      <c r="R10" s="891">
        <f t="shared" si="4"/>
        <v>0</v>
      </c>
      <c r="S10" s="891">
        <f t="shared" si="4"/>
        <v>0</v>
      </c>
      <c r="T10" s="883" t="e">
        <f t="shared" si="3"/>
        <v>#REF!</v>
      </c>
      <c r="U10" s="886"/>
      <c r="V10" s="892"/>
      <c r="W10" s="892"/>
      <c r="X10" s="886"/>
      <c r="Y10" s="886"/>
      <c r="Z10" s="886"/>
      <c r="AA10" s="886"/>
      <c r="AB10" s="886"/>
    </row>
    <row r="11" spans="1:28" s="876" customFormat="1" ht="18" customHeight="1">
      <c r="A11" s="877">
        <v>1</v>
      </c>
      <c r="B11" s="893" t="s">
        <v>206</v>
      </c>
      <c r="C11" s="879" t="s">
        <v>207</v>
      </c>
      <c r="D11" s="894">
        <f>W6</f>
        <v>6.2</v>
      </c>
      <c r="E11" s="881" t="e">
        <f>E6*$D$11%</f>
        <v>#REF!</v>
      </c>
      <c r="F11" s="881" t="e">
        <f>F6*$D$11%</f>
        <v>#REF!</v>
      </c>
      <c r="G11" s="881" t="e">
        <f>G6*$D$11%</f>
        <v>#REF!</v>
      </c>
      <c r="H11" s="881" t="e">
        <f t="shared" ref="H11:L11" si="6">H6*$D$11%</f>
        <v>#REF!</v>
      </c>
      <c r="I11" s="881" t="e">
        <f t="shared" ref="I11:J11" si="7">I6*$D$11%</f>
        <v>#REF!</v>
      </c>
      <c r="J11" s="881" t="e">
        <f t="shared" si="7"/>
        <v>#REF!</v>
      </c>
      <c r="K11" s="881" t="e">
        <f t="shared" si="6"/>
        <v>#REF!</v>
      </c>
      <c r="L11" s="881">
        <f t="shared" si="6"/>
        <v>0</v>
      </c>
      <c r="M11" s="881" t="e">
        <f t="shared" ref="M11" si="8">M6*$D$11%*0.9</f>
        <v>#REF!</v>
      </c>
      <c r="N11" s="881" t="e">
        <f t="shared" ref="N11:S11" si="9">N6*$D$11%</f>
        <v>#REF!</v>
      </c>
      <c r="O11" s="881" t="e">
        <f t="shared" si="9"/>
        <v>#REF!</v>
      </c>
      <c r="P11" s="881" t="e">
        <f t="shared" si="9"/>
        <v>#REF!</v>
      </c>
      <c r="Q11" s="881">
        <f t="shared" si="9"/>
        <v>0</v>
      </c>
      <c r="R11" s="881">
        <f t="shared" si="9"/>
        <v>0</v>
      </c>
      <c r="S11" s="881">
        <f t="shared" si="9"/>
        <v>0</v>
      </c>
      <c r="T11" s="883" t="e">
        <f t="shared" si="3"/>
        <v>#REF!</v>
      </c>
      <c r="U11" s="895"/>
      <c r="V11" s="886"/>
      <c r="W11" s="886"/>
      <c r="X11" s="886"/>
      <c r="Y11" s="886"/>
      <c r="Z11" s="886"/>
      <c r="AA11" s="886"/>
      <c r="AB11" s="886"/>
    </row>
    <row r="12" spans="1:28" s="876" customFormat="1" ht="18" customHeight="1">
      <c r="A12" s="877">
        <v>2</v>
      </c>
      <c r="B12" s="896" t="s">
        <v>208</v>
      </c>
      <c r="C12" s="879" t="s">
        <v>209</v>
      </c>
      <c r="D12" s="894">
        <f>W7</f>
        <v>2.2000000000000002</v>
      </c>
      <c r="E12" s="881" t="e">
        <f>E6*$D$12%</f>
        <v>#REF!</v>
      </c>
      <c r="F12" s="881" t="e">
        <f>F6*$D$12%</f>
        <v>#REF!</v>
      </c>
      <c r="G12" s="881" t="e">
        <f>G6*$D$12%</f>
        <v>#REF!</v>
      </c>
      <c r="H12" s="881" t="e">
        <f t="shared" ref="H12:L12" si="10">H6*$D$12%</f>
        <v>#REF!</v>
      </c>
      <c r="I12" s="881" t="e">
        <f t="shared" ref="I12:J12" si="11">I6*$D$12%</f>
        <v>#REF!</v>
      </c>
      <c r="J12" s="881" t="e">
        <f t="shared" si="11"/>
        <v>#REF!</v>
      </c>
      <c r="K12" s="881" t="e">
        <f t="shared" si="10"/>
        <v>#REF!</v>
      </c>
      <c r="L12" s="881">
        <f t="shared" si="10"/>
        <v>0</v>
      </c>
      <c r="M12" s="881" t="e">
        <f t="shared" ref="M12:S12" si="12">M6*$D$12%</f>
        <v>#REF!</v>
      </c>
      <c r="N12" s="881" t="e">
        <f t="shared" si="12"/>
        <v>#REF!</v>
      </c>
      <c r="O12" s="881" t="e">
        <f t="shared" si="12"/>
        <v>#REF!</v>
      </c>
      <c r="P12" s="881" t="e">
        <f t="shared" si="12"/>
        <v>#REF!</v>
      </c>
      <c r="Q12" s="881">
        <f t="shared" si="12"/>
        <v>0</v>
      </c>
      <c r="R12" s="881">
        <f t="shared" si="12"/>
        <v>0</v>
      </c>
      <c r="S12" s="881">
        <f t="shared" si="12"/>
        <v>0</v>
      </c>
      <c r="T12" s="883" t="e">
        <f t="shared" si="3"/>
        <v>#REF!</v>
      </c>
      <c r="U12" s="895"/>
      <c r="V12" s="886"/>
      <c r="W12" s="886"/>
      <c r="X12" s="886"/>
      <c r="Y12" s="886"/>
      <c r="Z12" s="886"/>
      <c r="AA12" s="886"/>
      <c r="AB12" s="886"/>
    </row>
    <row r="13" spans="1:28" s="876" customFormat="1" ht="24" customHeight="1">
      <c r="A13" s="877">
        <v>3</v>
      </c>
      <c r="B13" s="896" t="s">
        <v>210</v>
      </c>
      <c r="C13" s="879" t="s">
        <v>136</v>
      </c>
      <c r="D13" s="894">
        <v>2</v>
      </c>
      <c r="E13" s="881" t="e">
        <f>E6*$D$13%</f>
        <v>#REF!</v>
      </c>
      <c r="F13" s="881" t="e">
        <f>F6*$D$13%</f>
        <v>#REF!</v>
      </c>
      <c r="G13" s="881" t="e">
        <f>G6*$D$13%</f>
        <v>#REF!</v>
      </c>
      <c r="H13" s="881" t="e">
        <f t="shared" ref="H13:S13" si="13">H6*$D$13%</f>
        <v>#REF!</v>
      </c>
      <c r="I13" s="881" t="e">
        <f t="shared" ref="I13:J13" si="14">I6*$D$13%</f>
        <v>#REF!</v>
      </c>
      <c r="J13" s="881" t="e">
        <f t="shared" si="14"/>
        <v>#REF!</v>
      </c>
      <c r="K13" s="881" t="e">
        <f t="shared" si="13"/>
        <v>#REF!</v>
      </c>
      <c r="L13" s="881">
        <f t="shared" si="13"/>
        <v>0</v>
      </c>
      <c r="M13" s="881" t="e">
        <f t="shared" si="13"/>
        <v>#REF!</v>
      </c>
      <c r="N13" s="881" t="e">
        <f t="shared" si="13"/>
        <v>#REF!</v>
      </c>
      <c r="O13" s="881" t="e">
        <f t="shared" si="13"/>
        <v>#REF!</v>
      </c>
      <c r="P13" s="881" t="e">
        <f t="shared" si="13"/>
        <v>#REF!</v>
      </c>
      <c r="Q13" s="881">
        <f t="shared" si="13"/>
        <v>0</v>
      </c>
      <c r="R13" s="881">
        <f t="shared" si="13"/>
        <v>0</v>
      </c>
      <c r="S13" s="881">
        <f t="shared" si="13"/>
        <v>0</v>
      </c>
      <c r="T13" s="883" t="e">
        <f t="shared" si="3"/>
        <v>#REF!</v>
      </c>
      <c r="U13" s="895"/>
      <c r="V13" s="886"/>
      <c r="W13" s="886"/>
      <c r="X13" s="886"/>
      <c r="Y13" s="886"/>
      <c r="Z13" s="886"/>
      <c r="AA13" s="886"/>
      <c r="AB13" s="886"/>
    </row>
    <row r="14" spans="1:28" s="876" customFormat="1" ht="18" hidden="1" customHeight="1">
      <c r="A14" s="877">
        <v>4</v>
      </c>
      <c r="B14" s="897" t="s">
        <v>211</v>
      </c>
      <c r="C14" s="879" t="s">
        <v>212</v>
      </c>
      <c r="D14" s="898"/>
      <c r="E14" s="881"/>
      <c r="F14" s="881"/>
      <c r="G14" s="881"/>
      <c r="H14" s="881"/>
      <c r="I14" s="881"/>
      <c r="J14" s="881"/>
      <c r="K14" s="881"/>
      <c r="L14" s="881"/>
      <c r="M14" s="881"/>
      <c r="N14" s="881"/>
      <c r="O14" s="881"/>
      <c r="P14" s="881"/>
      <c r="Q14" s="881"/>
      <c r="R14" s="881"/>
      <c r="S14" s="881"/>
      <c r="T14" s="883">
        <f>+SUM(E14:S14)</f>
        <v>0</v>
      </c>
      <c r="U14" s="886"/>
      <c r="V14" s="886"/>
      <c r="W14" s="886"/>
      <c r="X14" s="886"/>
      <c r="Y14" s="886"/>
      <c r="Z14" s="886"/>
      <c r="AA14" s="886"/>
      <c r="AB14" s="886"/>
    </row>
    <row r="15" spans="1:28" s="876" customFormat="1" ht="18" customHeight="1">
      <c r="A15" s="889" t="s">
        <v>213</v>
      </c>
      <c r="B15" s="899" t="s">
        <v>214</v>
      </c>
      <c r="C15" s="879" t="s">
        <v>215</v>
      </c>
      <c r="D15" s="900">
        <v>6</v>
      </c>
      <c r="E15" s="881" t="e">
        <f>(E6+E10)*$D$15%</f>
        <v>#REF!</v>
      </c>
      <c r="F15" s="881" t="e">
        <f>(F6+F10)*$D$15%</f>
        <v>#REF!</v>
      </c>
      <c r="G15" s="881" t="e">
        <f>(G6+G10)*$D$15%</f>
        <v>#REF!</v>
      </c>
      <c r="H15" s="881" t="e">
        <f t="shared" ref="H15:S15" si="15">(H6+H10)*$D$15%</f>
        <v>#REF!</v>
      </c>
      <c r="I15" s="881" t="e">
        <f t="shared" ref="I15:J15" si="16">(I6+I10)*$D$15%</f>
        <v>#REF!</v>
      </c>
      <c r="J15" s="881" t="e">
        <f t="shared" si="16"/>
        <v>#REF!</v>
      </c>
      <c r="K15" s="881" t="e">
        <f t="shared" si="15"/>
        <v>#REF!</v>
      </c>
      <c r="L15" s="881">
        <f t="shared" si="15"/>
        <v>0</v>
      </c>
      <c r="M15" s="881" t="e">
        <f t="shared" si="15"/>
        <v>#REF!</v>
      </c>
      <c r="N15" s="881" t="e">
        <f t="shared" si="15"/>
        <v>#REF!</v>
      </c>
      <c r="O15" s="881" t="e">
        <f t="shared" si="15"/>
        <v>#REF!</v>
      </c>
      <c r="P15" s="881" t="e">
        <f t="shared" si="15"/>
        <v>#REF!</v>
      </c>
      <c r="Q15" s="881">
        <f t="shared" si="15"/>
        <v>0</v>
      </c>
      <c r="R15" s="881">
        <f t="shared" si="15"/>
        <v>0</v>
      </c>
      <c r="S15" s="881">
        <f t="shared" si="15"/>
        <v>0</v>
      </c>
      <c r="T15" s="883" t="e">
        <f t="shared" si="3"/>
        <v>#REF!</v>
      </c>
      <c r="U15" s="886"/>
      <c r="V15" s="886"/>
      <c r="W15" s="886"/>
      <c r="X15" s="886"/>
      <c r="Y15" s="886"/>
      <c r="Z15" s="886"/>
      <c r="AA15" s="886"/>
      <c r="AB15" s="886"/>
    </row>
    <row r="16" spans="1:28" s="876" customFormat="1" ht="18" customHeight="1">
      <c r="A16" s="889" t="s">
        <v>216</v>
      </c>
      <c r="B16" s="901" t="s">
        <v>217</v>
      </c>
      <c r="C16" s="879" t="s">
        <v>218</v>
      </c>
      <c r="D16" s="879" t="s">
        <v>219</v>
      </c>
      <c r="E16" s="881" t="e">
        <f>E15+E10+E6</f>
        <v>#REF!</v>
      </c>
      <c r="F16" s="881" t="e">
        <f>F15+F10+F6</f>
        <v>#REF!</v>
      </c>
      <c r="G16" s="881" t="e">
        <f>G15+G10+G6</f>
        <v>#REF!</v>
      </c>
      <c r="H16" s="881" t="e">
        <f t="shared" ref="H16:S16" si="17">H15+H10+H6</f>
        <v>#REF!</v>
      </c>
      <c r="I16" s="881" t="e">
        <f t="shared" ref="I16:J16" si="18">I15+I10+I6</f>
        <v>#REF!</v>
      </c>
      <c r="J16" s="881" t="e">
        <f t="shared" si="18"/>
        <v>#REF!</v>
      </c>
      <c r="K16" s="881" t="e">
        <f t="shared" si="17"/>
        <v>#REF!</v>
      </c>
      <c r="L16" s="881">
        <f t="shared" si="17"/>
        <v>0</v>
      </c>
      <c r="M16" s="881" t="e">
        <f t="shared" si="17"/>
        <v>#REF!</v>
      </c>
      <c r="N16" s="881" t="e">
        <f t="shared" si="17"/>
        <v>#REF!</v>
      </c>
      <c r="O16" s="881" t="e">
        <f t="shared" si="17"/>
        <v>#REF!</v>
      </c>
      <c r="P16" s="881" t="e">
        <f t="shared" si="17"/>
        <v>#REF!</v>
      </c>
      <c r="Q16" s="881">
        <f t="shared" si="17"/>
        <v>0</v>
      </c>
      <c r="R16" s="881">
        <f t="shared" si="17"/>
        <v>0</v>
      </c>
      <c r="S16" s="881">
        <f t="shared" si="17"/>
        <v>0</v>
      </c>
      <c r="T16" s="883" t="e">
        <f t="shared" si="3"/>
        <v>#REF!</v>
      </c>
      <c r="U16" s="886"/>
      <c r="V16" s="886"/>
      <c r="W16" s="886"/>
      <c r="X16" s="886"/>
      <c r="Y16" s="886"/>
      <c r="Z16" s="886"/>
      <c r="AA16" s="886"/>
      <c r="AB16" s="886"/>
    </row>
    <row r="17" spans="1:28" s="876" customFormat="1" ht="18" customHeight="1">
      <c r="A17" s="902" t="s">
        <v>220</v>
      </c>
      <c r="B17" s="903" t="s">
        <v>221</v>
      </c>
      <c r="C17" s="879" t="s">
        <v>222</v>
      </c>
      <c r="D17" s="904">
        <v>10</v>
      </c>
      <c r="E17" s="905" t="e">
        <f>E16*$D$17%</f>
        <v>#REF!</v>
      </c>
      <c r="F17" s="905" t="e">
        <f>F16*$D$17%</f>
        <v>#REF!</v>
      </c>
      <c r="G17" s="905" t="e">
        <f>G16*$D$17%</f>
        <v>#REF!</v>
      </c>
      <c r="H17" s="905" t="e">
        <f t="shared" ref="H17:S17" si="19">H16*$D$17%</f>
        <v>#REF!</v>
      </c>
      <c r="I17" s="905" t="e">
        <f t="shared" ref="I17:J17" si="20">I16*$D$17%</f>
        <v>#REF!</v>
      </c>
      <c r="J17" s="905" t="e">
        <f t="shared" si="20"/>
        <v>#REF!</v>
      </c>
      <c r="K17" s="905" t="e">
        <f t="shared" si="19"/>
        <v>#REF!</v>
      </c>
      <c r="L17" s="905">
        <f t="shared" si="19"/>
        <v>0</v>
      </c>
      <c r="M17" s="905" t="e">
        <f t="shared" si="19"/>
        <v>#REF!</v>
      </c>
      <c r="N17" s="905" t="e">
        <f t="shared" si="19"/>
        <v>#REF!</v>
      </c>
      <c r="O17" s="905" t="e">
        <f t="shared" si="19"/>
        <v>#REF!</v>
      </c>
      <c r="P17" s="905" t="e">
        <f t="shared" si="19"/>
        <v>#REF!</v>
      </c>
      <c r="Q17" s="905">
        <f t="shared" si="19"/>
        <v>0</v>
      </c>
      <c r="R17" s="905">
        <f t="shared" si="19"/>
        <v>0</v>
      </c>
      <c r="S17" s="905">
        <f t="shared" si="19"/>
        <v>0</v>
      </c>
      <c r="T17" s="883" t="e">
        <f t="shared" si="3"/>
        <v>#REF!</v>
      </c>
      <c r="U17" s="906"/>
      <c r="V17" s="906"/>
      <c r="W17" s="906"/>
      <c r="X17" s="906"/>
      <c r="Y17" s="906"/>
      <c r="Z17" s="906"/>
      <c r="AA17" s="906"/>
      <c r="AB17" s="906"/>
    </row>
    <row r="18" spans="1:28" s="915" customFormat="1" ht="18" customHeight="1">
      <c r="A18" s="907" t="s">
        <v>223</v>
      </c>
      <c r="B18" s="908" t="s">
        <v>224</v>
      </c>
      <c r="C18" s="909" t="s">
        <v>225</v>
      </c>
      <c r="D18" s="909" t="s">
        <v>192</v>
      </c>
      <c r="E18" s="910" t="e">
        <f t="shared" ref="E18:S18" si="21">SUM(E16:E17)</f>
        <v>#REF!</v>
      </c>
      <c r="F18" s="910" t="e">
        <f t="shared" ref="F18:G18" si="22">SUM(F16:F17)</f>
        <v>#REF!</v>
      </c>
      <c r="G18" s="910" t="e">
        <f t="shared" si="22"/>
        <v>#REF!</v>
      </c>
      <c r="H18" s="910" t="e">
        <f>SUM(H16:H17)</f>
        <v>#REF!</v>
      </c>
      <c r="I18" s="910" t="e">
        <f t="shared" ref="I18:J18" si="23">SUM(I16:I17)</f>
        <v>#REF!</v>
      </c>
      <c r="J18" s="910" t="e">
        <f t="shared" si="23"/>
        <v>#REF!</v>
      </c>
      <c r="K18" s="910" t="e">
        <f t="shared" si="21"/>
        <v>#REF!</v>
      </c>
      <c r="L18" s="910">
        <f t="shared" si="21"/>
        <v>0</v>
      </c>
      <c r="M18" s="910" t="e">
        <f t="shared" si="21"/>
        <v>#REF!</v>
      </c>
      <c r="N18" s="910" t="e">
        <f t="shared" ref="N18" si="24">SUM(N16:N17)</f>
        <v>#REF!</v>
      </c>
      <c r="O18" s="910" t="e">
        <f t="shared" si="21"/>
        <v>#REF!</v>
      </c>
      <c r="P18" s="910" t="e">
        <f t="shared" si="21"/>
        <v>#REF!</v>
      </c>
      <c r="Q18" s="910">
        <f t="shared" si="21"/>
        <v>0</v>
      </c>
      <c r="R18" s="910">
        <f t="shared" si="21"/>
        <v>0</v>
      </c>
      <c r="S18" s="910">
        <f t="shared" si="21"/>
        <v>0</v>
      </c>
      <c r="T18" s="911" t="e">
        <f>+ROUND(SUM(E18:S18),-3)</f>
        <v>#REF!</v>
      </c>
      <c r="U18" s="912"/>
      <c r="V18" s="913" t="e">
        <f>T18/(T7+T8+T9)</f>
        <v>#REF!</v>
      </c>
      <c r="W18" s="914"/>
      <c r="X18" s="914"/>
      <c r="Y18" s="914"/>
      <c r="Z18" s="914"/>
      <c r="AA18" s="914"/>
      <c r="AB18" s="914"/>
    </row>
    <row r="19" spans="1:28" s="876" customFormat="1" ht="18" hidden="1" customHeight="1">
      <c r="A19" s="907"/>
      <c r="B19" s="908"/>
      <c r="C19" s="909"/>
      <c r="D19" s="909"/>
      <c r="E19" s="910"/>
      <c r="F19" s="910"/>
      <c r="G19" s="910"/>
      <c r="H19" s="910"/>
      <c r="I19" s="910"/>
      <c r="J19" s="910"/>
      <c r="K19" s="910"/>
      <c r="L19" s="910"/>
      <c r="M19" s="910"/>
      <c r="N19" s="910"/>
      <c r="O19" s="910"/>
      <c r="P19" s="910"/>
      <c r="Q19" s="910"/>
      <c r="R19" s="910"/>
      <c r="S19" s="910"/>
      <c r="T19" s="911"/>
      <c r="U19" s="914"/>
      <c r="V19" s="914"/>
      <c r="W19" s="914"/>
      <c r="X19" s="914"/>
      <c r="Y19" s="914"/>
      <c r="Z19" s="914"/>
      <c r="AA19" s="914"/>
      <c r="AB19" s="914"/>
    </row>
    <row r="20" spans="1:28" s="918" customFormat="1" ht="18" hidden="1" customHeight="1">
      <c r="A20" s="907" t="s">
        <v>202</v>
      </c>
      <c r="B20" s="916" t="s">
        <v>226</v>
      </c>
      <c r="C20" s="909" t="s">
        <v>227</v>
      </c>
      <c r="D20" s="909" t="str">
        <f>C21&amp;"+"&amp;C22</f>
        <v>LT+TK</v>
      </c>
      <c r="E20" s="910" t="e">
        <f t="shared" ref="E20:S20" si="25">SUM(E21:E22)</f>
        <v>#REF!</v>
      </c>
      <c r="F20" s="910"/>
      <c r="G20" s="910"/>
      <c r="H20" s="910" t="e">
        <f t="shared" si="25"/>
        <v>#REF!</v>
      </c>
      <c r="I20" s="910"/>
      <c r="J20" s="910"/>
      <c r="K20" s="910" t="e">
        <f t="shared" si="25"/>
        <v>#REF!</v>
      </c>
      <c r="L20" s="910">
        <f>SUM(L21:L22)</f>
        <v>0</v>
      </c>
      <c r="M20" s="910" t="e">
        <f t="shared" si="25"/>
        <v>#REF!</v>
      </c>
      <c r="N20" s="910" t="e">
        <f t="shared" si="25"/>
        <v>#REF!</v>
      </c>
      <c r="O20" s="910" t="e">
        <f t="shared" si="25"/>
        <v>#REF!</v>
      </c>
      <c r="P20" s="910" t="e">
        <f t="shared" si="25"/>
        <v>#REF!</v>
      </c>
      <c r="Q20" s="910">
        <f>SUM(Q21:Q22)</f>
        <v>0</v>
      </c>
      <c r="R20" s="910">
        <f>SUM(R21:R22)</f>
        <v>0</v>
      </c>
      <c r="S20" s="910">
        <f t="shared" si="25"/>
        <v>0</v>
      </c>
      <c r="T20" s="911" t="e">
        <f>+SUM(E20:S20)</f>
        <v>#REF!</v>
      </c>
      <c r="U20" s="917"/>
      <c r="V20" s="917"/>
      <c r="W20" s="917"/>
      <c r="X20" s="917"/>
      <c r="Y20" s="917"/>
      <c r="Z20" s="917"/>
      <c r="AA20" s="917"/>
      <c r="AB20" s="917"/>
    </row>
    <row r="21" spans="1:28" s="918" customFormat="1" ht="18" hidden="1" customHeight="1">
      <c r="A21" s="902">
        <v>1</v>
      </c>
      <c r="B21" s="893" t="s">
        <v>228</v>
      </c>
      <c r="C21" s="879" t="s">
        <v>209</v>
      </c>
      <c r="D21" s="919">
        <v>0</v>
      </c>
      <c r="E21" s="905" t="e">
        <f t="shared" ref="E21:S21" si="26">E6*$D$21%</f>
        <v>#REF!</v>
      </c>
      <c r="F21" s="905"/>
      <c r="G21" s="905"/>
      <c r="H21" s="905" t="e">
        <f t="shared" si="26"/>
        <v>#REF!</v>
      </c>
      <c r="I21" s="905"/>
      <c r="J21" s="905"/>
      <c r="K21" s="905" t="e">
        <f t="shared" si="26"/>
        <v>#REF!</v>
      </c>
      <c r="L21" s="905">
        <f>L6*$D$21%</f>
        <v>0</v>
      </c>
      <c r="M21" s="905" t="e">
        <f t="shared" si="26"/>
        <v>#REF!</v>
      </c>
      <c r="N21" s="905" t="e">
        <f t="shared" si="26"/>
        <v>#REF!</v>
      </c>
      <c r="O21" s="905" t="e">
        <f t="shared" si="26"/>
        <v>#REF!</v>
      </c>
      <c r="P21" s="905" t="e">
        <f t="shared" si="26"/>
        <v>#REF!</v>
      </c>
      <c r="Q21" s="905">
        <f>Q6*1%</f>
        <v>0</v>
      </c>
      <c r="R21" s="905">
        <f>R6*$D$21%</f>
        <v>0</v>
      </c>
      <c r="S21" s="905">
        <f t="shared" si="26"/>
        <v>0</v>
      </c>
      <c r="T21" s="883" t="e">
        <f>+SUM(E21:S21)</f>
        <v>#REF!</v>
      </c>
      <c r="U21" s="920"/>
      <c r="V21" s="920"/>
      <c r="W21" s="920"/>
      <c r="X21" s="920"/>
      <c r="Y21" s="920"/>
      <c r="Z21" s="920"/>
      <c r="AA21" s="920"/>
      <c r="AB21" s="920"/>
    </row>
    <row r="22" spans="1:28" s="918" customFormat="1" ht="18" hidden="1" customHeight="1">
      <c r="A22" s="902">
        <v>2</v>
      </c>
      <c r="B22" s="893" t="s">
        <v>229</v>
      </c>
      <c r="C22" s="879" t="s">
        <v>230</v>
      </c>
      <c r="D22" s="919">
        <v>0</v>
      </c>
      <c r="E22" s="905" t="e">
        <f t="shared" ref="E22:S22" si="27">E6*$D$22%</f>
        <v>#REF!</v>
      </c>
      <c r="F22" s="905"/>
      <c r="G22" s="905"/>
      <c r="H22" s="905" t="e">
        <f t="shared" si="27"/>
        <v>#REF!</v>
      </c>
      <c r="I22" s="905"/>
      <c r="J22" s="905"/>
      <c r="K22" s="905" t="e">
        <f t="shared" si="27"/>
        <v>#REF!</v>
      </c>
      <c r="L22" s="905">
        <f>L6*$D$22%</f>
        <v>0</v>
      </c>
      <c r="M22" s="905" t="e">
        <f t="shared" si="27"/>
        <v>#REF!</v>
      </c>
      <c r="N22" s="905" t="e">
        <f t="shared" si="27"/>
        <v>#REF!</v>
      </c>
      <c r="O22" s="905" t="e">
        <f t="shared" si="27"/>
        <v>#REF!</v>
      </c>
      <c r="P22" s="905" t="e">
        <f t="shared" si="27"/>
        <v>#REF!</v>
      </c>
      <c r="Q22" s="905">
        <f>Q6*$D$22%</f>
        <v>0</v>
      </c>
      <c r="R22" s="905">
        <f>R6*$D$22%</f>
        <v>0</v>
      </c>
      <c r="S22" s="905">
        <f t="shared" si="27"/>
        <v>0</v>
      </c>
      <c r="T22" s="883" t="e">
        <f>+SUM(E22:S22)</f>
        <v>#REF!</v>
      </c>
      <c r="U22" s="921" t="e">
        <f>T20+T6</f>
        <v>#REF!</v>
      </c>
      <c r="V22" s="920"/>
      <c r="W22" s="920"/>
      <c r="X22" s="920"/>
      <c r="Y22" s="920"/>
      <c r="Z22" s="920"/>
      <c r="AA22" s="920"/>
      <c r="AB22" s="920"/>
    </row>
    <row r="23" spans="1:28" s="918" customFormat="1" ht="18" customHeight="1" thickBot="1">
      <c r="A23" s="922"/>
      <c r="B23" s="923"/>
      <c r="C23" s="924"/>
      <c r="D23" s="924"/>
      <c r="E23" s="925"/>
      <c r="F23" s="925"/>
      <c r="G23" s="925"/>
      <c r="H23" s="925"/>
      <c r="I23" s="925"/>
      <c r="J23" s="925"/>
      <c r="K23" s="925"/>
      <c r="L23" s="925"/>
      <c r="M23" s="925"/>
      <c r="N23" s="925"/>
      <c r="O23" s="925"/>
      <c r="P23" s="925"/>
      <c r="Q23" s="925"/>
      <c r="R23" s="925"/>
      <c r="S23" s="925"/>
      <c r="T23" s="926"/>
      <c r="U23" s="927" t="e">
        <f>U22/SUM(T7:T9)</f>
        <v>#REF!</v>
      </c>
      <c r="V23" s="917"/>
      <c r="W23" s="917"/>
      <c r="X23" s="917"/>
      <c r="Y23" s="917"/>
      <c r="Z23" s="917"/>
      <c r="AA23" s="917"/>
      <c r="AB23" s="917"/>
    </row>
    <row r="24" spans="1:28" s="918" customFormat="1" ht="18" hidden="1" customHeight="1" thickTop="1">
      <c r="A24" s="928">
        <v>14</v>
      </c>
      <c r="B24" s="929" t="s">
        <v>231</v>
      </c>
      <c r="C24" s="930" t="s">
        <v>232</v>
      </c>
      <c r="D24" s="930"/>
      <c r="E24" s="931">
        <f>E25+E26</f>
        <v>0</v>
      </c>
      <c r="F24" s="931"/>
      <c r="G24" s="931"/>
      <c r="H24" s="931"/>
      <c r="I24" s="931"/>
      <c r="J24" s="931"/>
      <c r="K24" s="932">
        <f>K25+K26</f>
        <v>0</v>
      </c>
      <c r="L24" s="932"/>
      <c r="M24" s="932"/>
      <c r="N24" s="932"/>
      <c r="O24" s="932"/>
      <c r="P24" s="932"/>
      <c r="Q24" s="932"/>
      <c r="R24" s="932"/>
      <c r="S24" s="932"/>
      <c r="T24" s="933">
        <f>SUM(T25:T26)</f>
        <v>0</v>
      </c>
      <c r="U24" s="934"/>
      <c r="V24" s="917"/>
      <c r="W24" s="917"/>
      <c r="X24" s="917"/>
      <c r="Y24" s="917"/>
      <c r="Z24" s="917"/>
      <c r="AA24" s="917"/>
      <c r="AB24" s="917"/>
    </row>
    <row r="25" spans="1:28" s="918" customFormat="1" ht="18" hidden="1" customHeight="1">
      <c r="A25" s="889" t="s">
        <v>233</v>
      </c>
      <c r="B25" s="935" t="s">
        <v>234</v>
      </c>
      <c r="C25" s="909"/>
      <c r="D25" s="936" t="s">
        <v>235</v>
      </c>
      <c r="E25" s="881"/>
      <c r="F25" s="881"/>
      <c r="G25" s="881"/>
      <c r="H25" s="881"/>
      <c r="I25" s="881"/>
      <c r="J25" s="881"/>
      <c r="K25" s="882"/>
      <c r="L25" s="882"/>
      <c r="M25" s="882"/>
      <c r="N25" s="882"/>
      <c r="O25" s="882"/>
      <c r="P25" s="882"/>
      <c r="Q25" s="882"/>
      <c r="R25" s="882"/>
      <c r="S25" s="882"/>
      <c r="T25" s="937">
        <f>SUM(E25:S25)</f>
        <v>0</v>
      </c>
      <c r="U25" s="917"/>
      <c r="V25" s="917"/>
      <c r="W25" s="917"/>
      <c r="X25" s="917"/>
      <c r="Y25" s="917"/>
      <c r="Z25" s="917"/>
      <c r="AA25" s="917"/>
      <c r="AB25" s="917"/>
    </row>
    <row r="26" spans="1:28" s="918" customFormat="1" ht="18" hidden="1" customHeight="1" thickBot="1">
      <c r="A26" s="938" t="s">
        <v>236</v>
      </c>
      <c r="B26" s="923" t="s">
        <v>237</v>
      </c>
      <c r="C26" s="939"/>
      <c r="D26" s="940" t="s">
        <v>238</v>
      </c>
      <c r="E26" s="941"/>
      <c r="F26" s="941"/>
      <c r="G26" s="941"/>
      <c r="H26" s="941"/>
      <c r="I26" s="941"/>
      <c r="J26" s="941"/>
      <c r="K26" s="942"/>
      <c r="L26" s="942"/>
      <c r="M26" s="942"/>
      <c r="N26" s="942"/>
      <c r="O26" s="942"/>
      <c r="P26" s="942"/>
      <c r="Q26" s="942"/>
      <c r="R26" s="942"/>
      <c r="S26" s="942"/>
      <c r="T26" s="943">
        <f>SUM(E26:S26)</f>
        <v>0</v>
      </c>
      <c r="U26" s="944"/>
      <c r="V26" s="945"/>
      <c r="W26" s="945"/>
      <c r="X26" s="945"/>
      <c r="Y26" s="945"/>
      <c r="Z26" s="945"/>
      <c r="AA26" s="945"/>
      <c r="AB26" s="945"/>
    </row>
    <row r="27" spans="1:28" s="863" customFormat="1" ht="6" customHeight="1" thickTop="1">
      <c r="A27" s="946"/>
      <c r="B27" s="947"/>
      <c r="C27" s="948"/>
      <c r="D27" s="947"/>
      <c r="E27" s="947"/>
      <c r="F27" s="947"/>
      <c r="G27" s="947"/>
      <c r="H27" s="947"/>
      <c r="I27" s="947"/>
      <c r="J27" s="947"/>
      <c r="K27" s="947"/>
      <c r="L27" s="947"/>
      <c r="M27" s="947"/>
      <c r="N27" s="947"/>
      <c r="O27" s="947"/>
      <c r="P27" s="947"/>
      <c r="Q27" s="947"/>
      <c r="R27" s="947"/>
      <c r="S27" s="947"/>
      <c r="T27" s="947"/>
      <c r="U27" s="862"/>
      <c r="V27" s="862"/>
      <c r="W27" s="862"/>
      <c r="X27" s="862"/>
      <c r="Y27" s="862"/>
      <c r="Z27" s="862"/>
      <c r="AA27" s="862"/>
      <c r="AB27" s="862"/>
    </row>
    <row r="28" spans="1:28" s="863" customFormat="1" hidden="1">
      <c r="A28" s="949"/>
      <c r="B28" s="862"/>
      <c r="C28" s="950"/>
      <c r="D28" s="862"/>
      <c r="E28" s="888"/>
      <c r="F28" s="888"/>
      <c r="G28" s="888"/>
      <c r="H28" s="888"/>
      <c r="I28" s="888"/>
      <c r="J28" s="888"/>
      <c r="K28" s="888"/>
      <c r="L28" s="888"/>
      <c r="M28" s="888"/>
      <c r="N28" s="888"/>
      <c r="O28" s="888"/>
      <c r="P28" s="888"/>
      <c r="Q28" s="888"/>
      <c r="R28" s="888"/>
      <c r="S28" s="888"/>
      <c r="T28" s="888"/>
      <c r="U28" s="862"/>
      <c r="V28" s="862"/>
      <c r="W28" s="862"/>
      <c r="X28" s="862"/>
      <c r="Y28" s="862"/>
      <c r="Z28" s="862"/>
      <c r="AA28" s="862"/>
      <c r="AB28" s="862"/>
    </row>
    <row r="29" spans="1:28" s="863" customFormat="1" hidden="1">
      <c r="A29" s="949"/>
      <c r="B29" s="862"/>
      <c r="C29" s="950"/>
      <c r="D29" s="862"/>
      <c r="E29" s="862"/>
      <c r="F29" s="862"/>
      <c r="G29" s="862"/>
      <c r="H29" s="862"/>
      <c r="I29" s="862"/>
      <c r="J29" s="862"/>
      <c r="K29" s="862"/>
      <c r="L29" s="862"/>
      <c r="M29" s="862"/>
      <c r="N29" s="862"/>
      <c r="O29" s="862"/>
      <c r="P29" s="862"/>
      <c r="Q29" s="862"/>
      <c r="R29" s="862"/>
      <c r="S29" s="862"/>
      <c r="T29" s="862"/>
      <c r="U29" s="862"/>
      <c r="V29" s="862"/>
      <c r="W29" s="862"/>
      <c r="X29" s="862"/>
      <c r="Y29" s="862"/>
      <c r="Z29" s="862"/>
      <c r="AA29" s="862"/>
      <c r="AB29" s="862"/>
    </row>
    <row r="30" spans="1:28" s="958" customFormat="1" ht="16.5">
      <c r="A30" s="951"/>
      <c r="B30" s="1026" t="s">
        <v>1805</v>
      </c>
      <c r="C30" s="862"/>
      <c r="D30" s="952"/>
      <c r="E30" s="953"/>
      <c r="F30" s="953"/>
      <c r="G30" s="953"/>
      <c r="H30" s="863"/>
      <c r="I30" s="863"/>
      <c r="J30" s="863"/>
      <c r="L30" s="955"/>
      <c r="M30" s="955"/>
      <c r="N30" s="1062" t="s">
        <v>1832</v>
      </c>
      <c r="O30" s="955"/>
      <c r="P30" s="955"/>
      <c r="Q30" s="955"/>
      <c r="R30" s="955"/>
      <c r="S30" s="955"/>
      <c r="T30" s="956"/>
      <c r="U30" s="957"/>
      <c r="V30" s="957"/>
      <c r="W30" s="957"/>
      <c r="X30" s="957"/>
      <c r="Y30" s="957"/>
      <c r="Z30" s="957"/>
      <c r="AA30" s="957"/>
      <c r="AB30" s="957"/>
    </row>
    <row r="31" spans="1:28" s="958" customFormat="1" ht="16.5">
      <c r="A31" s="951"/>
      <c r="B31" s="1027"/>
      <c r="C31" s="862"/>
      <c r="D31" s="862"/>
      <c r="E31" s="862"/>
      <c r="F31" s="862"/>
      <c r="G31" s="862"/>
      <c r="H31" s="863"/>
      <c r="I31" s="863"/>
      <c r="J31" s="863"/>
      <c r="L31" s="959"/>
      <c r="M31" s="959"/>
      <c r="N31" s="1026" t="s">
        <v>1806</v>
      </c>
      <c r="O31" s="959"/>
      <c r="P31" s="959"/>
      <c r="Q31" s="959"/>
      <c r="R31" s="959"/>
      <c r="S31" s="959"/>
      <c r="T31" s="955"/>
      <c r="U31" s="957"/>
      <c r="V31" s="957"/>
      <c r="W31" s="957"/>
      <c r="X31" s="957"/>
      <c r="Y31" s="957"/>
      <c r="Z31" s="957"/>
      <c r="AA31" s="957"/>
      <c r="AB31" s="957"/>
    </row>
    <row r="32" spans="1:28" s="958" customFormat="1" ht="17.25">
      <c r="A32" s="951"/>
      <c r="B32" s="1027"/>
      <c r="C32" s="862"/>
      <c r="D32" s="862"/>
      <c r="E32" s="960"/>
      <c r="F32" s="960"/>
      <c r="G32" s="960"/>
      <c r="H32" s="863"/>
      <c r="I32" s="863"/>
      <c r="J32" s="863"/>
      <c r="L32" s="960"/>
      <c r="M32" s="960"/>
      <c r="N32" s="1023"/>
      <c r="O32" s="960"/>
      <c r="P32" s="960"/>
      <c r="Q32" s="960"/>
      <c r="R32" s="960"/>
      <c r="S32" s="960"/>
      <c r="T32" s="955"/>
      <c r="U32" s="957"/>
      <c r="V32" s="957"/>
      <c r="W32" s="957"/>
      <c r="X32" s="957"/>
      <c r="Y32" s="957"/>
      <c r="Z32" s="957"/>
      <c r="AA32" s="957"/>
      <c r="AB32" s="957"/>
    </row>
    <row r="33" spans="1:28" s="958" customFormat="1" ht="20.25" customHeight="1">
      <c r="A33" s="961"/>
      <c r="B33" s="167" t="s">
        <v>2007</v>
      </c>
      <c r="C33" s="962"/>
      <c r="D33" s="862"/>
      <c r="E33" s="862"/>
      <c r="F33" s="862"/>
      <c r="G33" s="862"/>
      <c r="H33" s="863"/>
      <c r="I33" s="863"/>
      <c r="J33" s="863"/>
      <c r="L33" s="959"/>
      <c r="M33" s="959"/>
      <c r="N33" s="1023"/>
      <c r="O33" s="959"/>
      <c r="P33" s="959"/>
      <c r="Q33" s="959"/>
      <c r="R33" s="959"/>
      <c r="S33" s="959"/>
      <c r="T33" s="955"/>
      <c r="U33" s="963"/>
      <c r="V33" s="963"/>
      <c r="W33" s="963"/>
      <c r="X33" s="963"/>
      <c r="Y33" s="963"/>
      <c r="Z33" s="963"/>
      <c r="AA33" s="963"/>
      <c r="AB33" s="963"/>
    </row>
    <row r="34" spans="1:28" s="958" customFormat="1" ht="16.5">
      <c r="A34" s="964"/>
      <c r="B34" s="167"/>
      <c r="C34" s="862"/>
      <c r="D34" s="962"/>
      <c r="E34" s="962"/>
      <c r="F34" s="962"/>
      <c r="G34" s="962"/>
      <c r="H34" s="863"/>
      <c r="I34" s="863"/>
      <c r="J34" s="863"/>
      <c r="L34" s="955"/>
      <c r="M34" s="955"/>
      <c r="N34" s="167" t="s">
        <v>1808</v>
      </c>
      <c r="O34" s="955"/>
      <c r="P34" s="955"/>
      <c r="Q34" s="955"/>
      <c r="R34" s="955"/>
      <c r="S34" s="955"/>
      <c r="T34" s="956"/>
      <c r="U34" s="957"/>
      <c r="V34" s="965"/>
      <c r="W34" s="965"/>
      <c r="X34" s="957"/>
      <c r="Y34" s="957"/>
      <c r="Z34" s="957"/>
      <c r="AA34" s="957"/>
      <c r="AB34" s="957"/>
    </row>
    <row r="35" spans="1:28" s="958" customFormat="1" ht="16.5">
      <c r="A35" s="964"/>
      <c r="B35" s="966"/>
      <c r="C35" s="862"/>
      <c r="D35" s="862"/>
      <c r="E35" s="862"/>
      <c r="F35" s="862"/>
      <c r="G35" s="862"/>
      <c r="H35" s="863"/>
      <c r="I35" s="863"/>
      <c r="J35" s="863"/>
      <c r="L35" s="959"/>
      <c r="M35" s="959"/>
      <c r="N35" s="1132" t="s">
        <v>2008</v>
      </c>
      <c r="O35" s="959"/>
      <c r="P35" s="959"/>
      <c r="Q35" s="959"/>
      <c r="R35" s="959"/>
      <c r="S35" s="959"/>
      <c r="T35" s="956"/>
      <c r="U35" s="957"/>
      <c r="V35" s="957"/>
      <c r="W35" s="957"/>
      <c r="X35" s="957"/>
      <c r="Y35" s="957"/>
      <c r="Z35" s="957"/>
      <c r="AA35" s="957"/>
      <c r="AB35" s="957"/>
    </row>
    <row r="36" spans="1:28" s="958" customFormat="1" ht="15.75">
      <c r="A36" s="967"/>
      <c r="B36" s="968"/>
      <c r="C36" s="863"/>
      <c r="D36" s="862"/>
      <c r="E36" s="862"/>
      <c r="F36" s="862"/>
      <c r="G36" s="862"/>
      <c r="H36" s="863"/>
      <c r="I36" s="863"/>
      <c r="J36" s="863"/>
      <c r="L36" s="969"/>
      <c r="M36" s="969"/>
      <c r="N36" s="863"/>
      <c r="O36" s="863"/>
      <c r="P36" s="863"/>
      <c r="Q36" s="969"/>
      <c r="R36" s="969"/>
      <c r="S36" s="862"/>
      <c r="T36" s="863"/>
    </row>
    <row r="37" spans="1:28" s="863" customFormat="1">
      <c r="A37" s="970"/>
    </row>
    <row r="38" spans="1:28" s="863" customFormat="1">
      <c r="A38" s="970"/>
    </row>
    <row r="39" spans="1:28" s="863" customFormat="1">
      <c r="A39" s="970"/>
    </row>
    <row r="40" spans="1:28" s="863" customFormat="1">
      <c r="A40" s="970"/>
    </row>
    <row r="41" spans="1:28" s="863" customFormat="1">
      <c r="A41" s="970"/>
    </row>
    <row r="42" spans="1:28" s="863" customFormat="1">
      <c r="A42" s="970"/>
    </row>
    <row r="43" spans="1:28" s="863" customFormat="1">
      <c r="A43" s="970"/>
    </row>
    <row r="44" spans="1:28" s="863" customFormat="1">
      <c r="A44" s="970"/>
    </row>
    <row r="45" spans="1:28" s="863" customFormat="1">
      <c r="A45" s="970"/>
    </row>
    <row r="46" spans="1:28" s="863" customFormat="1">
      <c r="A46" s="970"/>
    </row>
  </sheetData>
  <mergeCells count="4">
    <mergeCell ref="A1:T1"/>
    <mergeCell ref="A2:T2"/>
    <mergeCell ref="A4:T4"/>
    <mergeCell ref="A3:T3"/>
  </mergeCells>
  <pageMargins left="0.96" right="0.2" top="1.07" bottom="0.2" header="0.5" footer="0.34"/>
  <pageSetup paperSize="9" orientation="landscape" r:id="rId1"/>
  <headerFooter alignWithMargins="0"/>
  <legacyDrawing r:id="rId2"/>
</worksheet>
</file>

<file path=xl/worksheets/sheet2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51981-64B2-44DA-99A1-4924EE168B32}">
  <sheetPr>
    <tabColor theme="9" tint="0.59999389629810485"/>
  </sheetPr>
  <dimension ref="A1:AA46"/>
  <sheetViews>
    <sheetView zoomScale="130" zoomScaleNormal="130" workbookViewId="0">
      <pane xSplit="3" ySplit="5" topLeftCell="D6" activePane="bottomRight" state="frozen"/>
      <selection activeCell="B29" sqref="B29"/>
      <selection pane="topRight" activeCell="B29" sqref="B29"/>
      <selection pane="bottomLeft" activeCell="B29" sqref="B29"/>
      <selection pane="bottomRight" activeCell="S18" sqref="S18"/>
    </sheetView>
  </sheetViews>
  <sheetFormatPr defaultColWidth="8.75" defaultRowHeight="15"/>
  <cols>
    <col min="1" max="1" width="7.125" style="67" customWidth="1"/>
    <col min="2" max="2" width="42.75" style="66" customWidth="1"/>
    <col min="3" max="3" width="7.25" style="66" customWidth="1"/>
    <col min="4" max="4" width="16.25" style="66" customWidth="1"/>
    <col min="5" max="5" width="10.5" style="66" hidden="1" customWidth="1"/>
    <col min="6" max="6" width="9.875" style="66" hidden="1" customWidth="1"/>
    <col min="7" max="7" width="10" style="66" hidden="1" customWidth="1"/>
    <col min="8" max="8" width="14.375" style="66" hidden="1" customWidth="1"/>
    <col min="9" max="9" width="9.625" style="66" hidden="1" customWidth="1"/>
    <col min="10" max="10" width="13.5" style="66" hidden="1" customWidth="1"/>
    <col min="11" max="11" width="17.25" style="66" customWidth="1"/>
    <col min="12" max="12" width="9.75" style="66" hidden="1" customWidth="1"/>
    <col min="13" max="13" width="10.75" style="66" hidden="1" customWidth="1"/>
    <col min="14" max="14" width="9.25" style="66" hidden="1" customWidth="1"/>
    <col min="15" max="15" width="10.25" style="66" hidden="1" customWidth="1"/>
    <col min="16" max="16" width="10.625" style="66" hidden="1" customWidth="1"/>
    <col min="17" max="18" width="10.375" style="66" hidden="1" customWidth="1"/>
    <col min="19" max="19" width="16.75" style="66" customWidth="1"/>
    <col min="20" max="20" width="18.875" style="66" customWidth="1"/>
    <col min="21" max="21" width="8.75" style="66" customWidth="1"/>
    <col min="22" max="22" width="10.5" style="66" bestFit="1" customWidth="1"/>
    <col min="23" max="16384" width="8.75" style="66"/>
  </cols>
  <sheetData>
    <row r="1" spans="1:27" ht="25.5" customHeight="1">
      <c r="A1" s="1185" t="s">
        <v>1813</v>
      </c>
      <c r="B1" s="1185"/>
      <c r="C1" s="1185"/>
      <c r="D1" s="1185"/>
      <c r="E1" s="1185"/>
      <c r="F1" s="1185"/>
      <c r="G1" s="1185"/>
      <c r="H1" s="1185"/>
      <c r="I1" s="1185"/>
      <c r="J1" s="1185"/>
      <c r="K1" s="1185"/>
      <c r="L1" s="1185"/>
      <c r="M1" s="1185"/>
      <c r="N1" s="1185"/>
      <c r="O1" s="1185"/>
      <c r="P1" s="1185"/>
      <c r="Q1" s="1185"/>
      <c r="R1" s="1185"/>
      <c r="S1" s="1185"/>
      <c r="T1" s="65"/>
      <c r="U1" s="65"/>
      <c r="V1" s="65"/>
      <c r="W1" s="65"/>
      <c r="X1" s="65"/>
      <c r="Y1" s="65"/>
      <c r="Z1" s="65"/>
      <c r="AA1" s="65"/>
    </row>
    <row r="2" spans="1:27" s="863" customFormat="1" ht="50.25" customHeight="1">
      <c r="A2" s="1186" t="s">
        <v>1795</v>
      </c>
      <c r="B2" s="1186"/>
      <c r="C2" s="1186"/>
      <c r="D2" s="1186"/>
      <c r="E2" s="1186"/>
      <c r="F2" s="1186"/>
      <c r="G2" s="1186"/>
      <c r="H2" s="1186"/>
      <c r="I2" s="1186"/>
      <c r="J2" s="1186"/>
      <c r="K2" s="1186"/>
      <c r="L2" s="1186"/>
      <c r="M2" s="1186"/>
      <c r="N2" s="1186"/>
      <c r="O2" s="1186"/>
      <c r="P2" s="1186"/>
      <c r="Q2" s="1186"/>
      <c r="R2" s="1186"/>
      <c r="S2" s="1186"/>
      <c r="T2" s="861"/>
      <c r="U2" s="862"/>
      <c r="V2" s="862"/>
      <c r="W2" s="862"/>
      <c r="X2" s="862"/>
      <c r="Y2" s="862"/>
      <c r="Z2" s="862"/>
      <c r="AA2" s="862"/>
    </row>
    <row r="3" spans="1:27" s="863" customFormat="1" ht="11.25" customHeight="1" thickBot="1">
      <c r="A3" s="1189"/>
      <c r="B3" s="1189"/>
      <c r="C3" s="1189"/>
      <c r="D3" s="1189"/>
      <c r="E3" s="1189"/>
      <c r="F3" s="1189"/>
      <c r="G3" s="1189"/>
      <c r="H3" s="1189"/>
      <c r="I3" s="1189"/>
      <c r="J3" s="1189"/>
      <c r="K3" s="1189"/>
      <c r="L3" s="1189"/>
      <c r="M3" s="1189"/>
      <c r="N3" s="1189"/>
      <c r="O3" s="1189"/>
      <c r="P3" s="1189"/>
      <c r="Q3" s="1189"/>
      <c r="R3" s="1189"/>
      <c r="S3" s="1189"/>
      <c r="T3" s="861"/>
      <c r="U3" s="862"/>
      <c r="V3" s="862"/>
      <c r="W3" s="862"/>
      <c r="X3" s="862"/>
      <c r="Y3" s="862"/>
      <c r="Z3" s="862"/>
      <c r="AA3" s="862"/>
    </row>
    <row r="4" spans="1:27" s="863" customFormat="1" ht="2.25" hidden="1" customHeight="1" thickBot="1">
      <c r="A4" s="1187"/>
      <c r="B4" s="1187"/>
      <c r="C4" s="1187"/>
      <c r="D4" s="1187"/>
      <c r="E4" s="1187"/>
      <c r="F4" s="1187"/>
      <c r="G4" s="1187"/>
      <c r="H4" s="1187"/>
      <c r="I4" s="1187"/>
      <c r="J4" s="1187"/>
      <c r="K4" s="1187"/>
      <c r="L4" s="1187"/>
      <c r="M4" s="1187"/>
      <c r="N4" s="1187"/>
      <c r="O4" s="1187"/>
      <c r="P4" s="1187"/>
      <c r="Q4" s="1187"/>
      <c r="R4" s="1187"/>
      <c r="S4" s="1187"/>
      <c r="T4" s="862"/>
      <c r="U4" s="864"/>
      <c r="V4" s="864"/>
      <c r="W4" s="862"/>
      <c r="X4" s="862"/>
      <c r="Y4" s="862"/>
      <c r="Z4" s="862"/>
      <c r="AA4" s="862"/>
    </row>
    <row r="5" spans="1:27" s="863" customFormat="1" ht="53.25" customHeight="1" thickTop="1">
      <c r="A5" s="865" t="s">
        <v>179</v>
      </c>
      <c r="B5" s="866" t="s">
        <v>180</v>
      </c>
      <c r="C5" s="866" t="s">
        <v>181</v>
      </c>
      <c r="D5" s="866" t="s">
        <v>182</v>
      </c>
      <c r="E5" s="866" t="s">
        <v>1740</v>
      </c>
      <c r="F5" s="866" t="s">
        <v>1741</v>
      </c>
      <c r="G5" s="866" t="s">
        <v>1742</v>
      </c>
      <c r="H5" s="866" t="s">
        <v>1774</v>
      </c>
      <c r="I5" s="866" t="s">
        <v>1775</v>
      </c>
      <c r="J5" s="866" t="s">
        <v>1025</v>
      </c>
      <c r="K5" s="866" t="s">
        <v>1776</v>
      </c>
      <c r="L5" s="866" t="s">
        <v>1745</v>
      </c>
      <c r="M5" s="866" t="s">
        <v>578</v>
      </c>
      <c r="N5" s="866" t="s">
        <v>183</v>
      </c>
      <c r="O5" s="866" t="s">
        <v>184</v>
      </c>
      <c r="P5" s="866" t="s">
        <v>185</v>
      </c>
      <c r="Q5" s="866" t="s">
        <v>186</v>
      </c>
      <c r="R5" s="866" t="s">
        <v>187</v>
      </c>
      <c r="S5" s="867" t="s">
        <v>188</v>
      </c>
      <c r="T5" s="868"/>
      <c r="U5" s="972" t="s">
        <v>1270</v>
      </c>
      <c r="V5" s="973">
        <v>7.33</v>
      </c>
      <c r="W5" s="974">
        <v>15</v>
      </c>
      <c r="X5" s="974">
        <v>50</v>
      </c>
      <c r="Y5" s="974">
        <v>100</v>
      </c>
      <c r="Z5" s="974">
        <v>300</v>
      </c>
      <c r="AA5" s="974">
        <v>500</v>
      </c>
    </row>
    <row r="6" spans="1:27" s="876" customFormat="1" ht="18" customHeight="1">
      <c r="A6" s="869" t="s">
        <v>189</v>
      </c>
      <c r="B6" s="870" t="s">
        <v>190</v>
      </c>
      <c r="C6" s="871" t="s">
        <v>191</v>
      </c>
      <c r="D6" s="872" t="s">
        <v>205</v>
      </c>
      <c r="E6" s="873" t="e">
        <f t="shared" ref="E6:J6" si="0">SUM(E7:E9)</f>
        <v>#REF!</v>
      </c>
      <c r="F6" s="873" t="e">
        <f t="shared" si="0"/>
        <v>#REF!</v>
      </c>
      <c r="G6" s="873" t="e">
        <f t="shared" si="0"/>
        <v>#REF!</v>
      </c>
      <c r="H6" s="873">
        <f t="shared" si="0"/>
        <v>0</v>
      </c>
      <c r="I6" s="873">
        <f t="shared" si="0"/>
        <v>0</v>
      </c>
      <c r="J6" s="873">
        <f t="shared" si="0"/>
        <v>0</v>
      </c>
      <c r="K6" s="873" t="e">
        <f t="shared" ref="K6:R6" si="1">SUM(K7:K9)</f>
        <v>#REF!</v>
      </c>
      <c r="L6" s="873" t="e">
        <f t="shared" si="1"/>
        <v>#REF!</v>
      </c>
      <c r="M6" s="873" t="e">
        <f t="shared" si="1"/>
        <v>#REF!</v>
      </c>
      <c r="N6" s="873" t="e">
        <f t="shared" si="1"/>
        <v>#REF!</v>
      </c>
      <c r="O6" s="873" t="e">
        <f t="shared" si="1"/>
        <v>#REF!</v>
      </c>
      <c r="P6" s="873">
        <f t="shared" si="1"/>
        <v>0</v>
      </c>
      <c r="Q6" s="873">
        <f t="shared" si="1"/>
        <v>0</v>
      </c>
      <c r="R6" s="873">
        <f t="shared" si="1"/>
        <v>0</v>
      </c>
      <c r="S6" s="874" t="e">
        <f>ROUND(SUM(E6:R6),-3)</f>
        <v>#REF!</v>
      </c>
      <c r="T6" s="875"/>
      <c r="U6" s="975" t="s">
        <v>193</v>
      </c>
      <c r="V6" s="976">
        <f>ROUND(IF($V$5&lt;=$W$5,W6,IF(AND($V$5&gt;$W$5,$V$5&lt;=$X$5),FORECAST($V$5,W6:X6,$W$5:$X$5),IF(AND($V$5&gt;$X$5,$V$5&lt;=$Y$5),FORECAST($V$5,X6:Y6,$X$5:$Y$5),IF(AND($V$5&gt;$Y$5,V5&lt;=$Z$5),FORECAST($V$5,Y6:Z6,$Y$5:$Z$5),IF(AND($V$5&gt;$Y$5,V5&lt;=$Z$5),FORECAST($V$5,Z6:AA6,$Z$5:$AA$5),IF($V$5&gt;$AA$5,AA6)))))),3)</f>
        <v>6.2</v>
      </c>
      <c r="W6" s="977">
        <v>6.2</v>
      </c>
      <c r="X6" s="977">
        <v>6</v>
      </c>
      <c r="Y6" s="977">
        <v>5.6</v>
      </c>
      <c r="Z6" s="977">
        <v>5.3</v>
      </c>
      <c r="AA6" s="977">
        <v>5.0999999999999996</v>
      </c>
    </row>
    <row r="7" spans="1:27" s="876" customFormat="1" ht="18" customHeight="1">
      <c r="A7" s="877">
        <v>1</v>
      </c>
      <c r="B7" s="878" t="s">
        <v>194</v>
      </c>
      <c r="C7" s="879" t="s">
        <v>195</v>
      </c>
      <c r="D7" s="880" t="s">
        <v>196</v>
      </c>
      <c r="E7" s="881" t="e">
        <f>'Du toan chi tiet'!I7</f>
        <v>#REF!</v>
      </c>
      <c r="F7" s="881" t="e">
        <f>'Du toan chi tiet'!I84</f>
        <v>#REF!</v>
      </c>
      <c r="G7" s="881" t="e">
        <f>'Du toan chi tiet'!I138</f>
        <v>#REF!</v>
      </c>
      <c r="H7" s="881"/>
      <c r="I7" s="881"/>
      <c r="J7" s="882"/>
      <c r="K7" s="882" t="e">
        <f>'Du toan chi tiet'!I551</f>
        <v>#REF!</v>
      </c>
      <c r="L7" s="882" t="e">
        <f>'Du toan chi tiet'!I558</f>
        <v>#REF!</v>
      </c>
      <c r="M7" s="882" t="e">
        <f>'Du toan chi tiet'!I649</f>
        <v>#REF!</v>
      </c>
      <c r="N7" s="882" t="e">
        <f>'Du toan chi tiet'!I839</f>
        <v>#REF!</v>
      </c>
      <c r="O7" s="882" t="e">
        <f>'Du toan chi tiet'!I937</f>
        <v>#REF!</v>
      </c>
      <c r="P7" s="882"/>
      <c r="Q7" s="882"/>
      <c r="R7" s="882"/>
      <c r="S7" s="883" t="e">
        <f>+SUM(E7:R7)</f>
        <v>#REF!</v>
      </c>
      <c r="T7" s="884"/>
      <c r="U7" s="975" t="s">
        <v>197</v>
      </c>
      <c r="V7" s="976">
        <f>ROUND(IF($V$5&lt;=$W$5,W7,IF(AND($V$5&gt;$W$5,$V$5&lt;=$X$5),FORECAST($V$5,W7:X7,$W$5:$X$5),IF(AND($V$5&gt;$X$5,$V$5&lt;=$Y$5),FORECAST($V$5,X7:Y7,$X$5:$Y$5),IF(AND($V$5&gt;$Y$5,V6&lt;=$Z$5),FORECAST($V$5,Y7:Z7,$Y$5:$Z$5),IF(AND($V$5&gt;$Y$5,V6&lt;=$Z$5),FORECAST($V$5,Z7:AA7,$Z$5:$AA$5),IF($V$5&gt;$AA$5,AA7)))))),3)</f>
        <v>2.2000000000000002</v>
      </c>
      <c r="W7" s="977">
        <v>2.2000000000000002</v>
      </c>
      <c r="X7" s="977">
        <v>2.1176470588235294</v>
      </c>
      <c r="Y7" s="977">
        <v>2</v>
      </c>
      <c r="Z7" s="977">
        <v>1.4750000000000001</v>
      </c>
      <c r="AA7" s="977">
        <v>0.95</v>
      </c>
    </row>
    <row r="8" spans="1:27" s="876" customFormat="1" ht="18" customHeight="1">
      <c r="A8" s="885">
        <v>2</v>
      </c>
      <c r="B8" s="878" t="s">
        <v>198</v>
      </c>
      <c r="C8" s="879" t="s">
        <v>199</v>
      </c>
      <c r="D8" s="880" t="s">
        <v>196</v>
      </c>
      <c r="E8" s="881" t="e">
        <f>'Du toan chi tiet'!J7</f>
        <v>#REF!</v>
      </c>
      <c r="F8" s="881" t="e">
        <f>'Du toan chi tiet'!J84</f>
        <v>#REF!</v>
      </c>
      <c r="G8" s="881" t="e">
        <f>'Du toan chi tiet'!J138</f>
        <v>#REF!</v>
      </c>
      <c r="H8" s="881"/>
      <c r="I8" s="881"/>
      <c r="J8" s="882"/>
      <c r="K8" s="882" t="e">
        <f>'Du toan chi tiet'!J551</f>
        <v>#REF!</v>
      </c>
      <c r="L8" s="882" t="e">
        <f>'Du toan chi tiet'!J558</f>
        <v>#REF!</v>
      </c>
      <c r="M8" s="882" t="e">
        <f>'Du toan chi tiet'!J649</f>
        <v>#REF!</v>
      </c>
      <c r="N8" s="882" t="e">
        <f>'Du toan chi tiet'!J839</f>
        <v>#REF!</v>
      </c>
      <c r="O8" s="882" t="e">
        <f>'Du toan chi tiet'!J937</f>
        <v>#REF!</v>
      </c>
      <c r="P8" s="882"/>
      <c r="Q8" s="882"/>
      <c r="R8" s="882"/>
      <c r="S8" s="883" t="e">
        <f t="shared" ref="S8:S18" si="2">+SUM(E8:R8)</f>
        <v>#REF!</v>
      </c>
      <c r="T8" s="884"/>
      <c r="U8" s="886"/>
      <c r="V8" s="886"/>
      <c r="W8" s="886"/>
      <c r="X8" s="886"/>
      <c r="Y8" s="886"/>
      <c r="Z8" s="886"/>
      <c r="AA8" s="886"/>
    </row>
    <row r="9" spans="1:27" s="876" customFormat="1" ht="18" customHeight="1">
      <c r="A9" s="877">
        <v>3</v>
      </c>
      <c r="B9" s="878" t="s">
        <v>200</v>
      </c>
      <c r="C9" s="879" t="s">
        <v>201</v>
      </c>
      <c r="D9" s="880" t="s">
        <v>196</v>
      </c>
      <c r="E9" s="881" t="e">
        <f>'Du toan chi tiet'!K7</f>
        <v>#REF!</v>
      </c>
      <c r="F9" s="881" t="e">
        <f>'Du toan chi tiet'!K84</f>
        <v>#REF!</v>
      </c>
      <c r="G9" s="881" t="e">
        <f>'Du toan chi tiet'!K138</f>
        <v>#REF!</v>
      </c>
      <c r="H9" s="881"/>
      <c r="I9" s="881"/>
      <c r="J9" s="882"/>
      <c r="K9" s="882" t="e">
        <f>'Du toan chi tiet'!K551</f>
        <v>#REF!</v>
      </c>
      <c r="L9" s="882" t="e">
        <f>'Du toan chi tiet'!K558</f>
        <v>#REF!</v>
      </c>
      <c r="M9" s="882" t="e">
        <f>'Du toan chi tiet'!K649</f>
        <v>#REF!</v>
      </c>
      <c r="N9" s="882" t="e">
        <f>'Du toan chi tiet'!K839</f>
        <v>#REF!</v>
      </c>
      <c r="O9" s="882" t="e">
        <f>'Du toan chi tiet'!K937</f>
        <v>#REF!</v>
      </c>
      <c r="P9" s="882"/>
      <c r="Q9" s="882"/>
      <c r="R9" s="882"/>
      <c r="S9" s="883" t="e">
        <f t="shared" si="2"/>
        <v>#REF!</v>
      </c>
      <c r="T9" s="887"/>
      <c r="U9" s="888"/>
      <c r="V9" s="888"/>
      <c r="W9" s="886"/>
      <c r="X9" s="886"/>
      <c r="Y9" s="886"/>
      <c r="Z9" s="886"/>
      <c r="AA9" s="886"/>
    </row>
    <row r="10" spans="1:27" s="876" customFormat="1" ht="18" customHeight="1">
      <c r="A10" s="889" t="s">
        <v>202</v>
      </c>
      <c r="B10" s="890" t="s">
        <v>203</v>
      </c>
      <c r="C10" s="879" t="s">
        <v>204</v>
      </c>
      <c r="D10" s="880" t="s">
        <v>586</v>
      </c>
      <c r="E10" s="891" t="e">
        <f>SUM(E11:E14)</f>
        <v>#REF!</v>
      </c>
      <c r="F10" s="891" t="e">
        <f>SUM(F11:F14)</f>
        <v>#REF!</v>
      </c>
      <c r="G10" s="891" t="e">
        <f>SUM(G11:G14)</f>
        <v>#REF!</v>
      </c>
      <c r="H10" s="891">
        <f t="shared" ref="H10:R10" si="3">SUM(H11:H14)</f>
        <v>0</v>
      </c>
      <c r="I10" s="891">
        <f t="shared" si="3"/>
        <v>0</v>
      </c>
      <c r="J10" s="891">
        <f t="shared" si="3"/>
        <v>0</v>
      </c>
      <c r="K10" s="891" t="e">
        <f t="shared" si="3"/>
        <v>#REF!</v>
      </c>
      <c r="L10" s="891" t="e">
        <f t="shared" si="3"/>
        <v>#REF!</v>
      </c>
      <c r="M10" s="891" t="e">
        <f t="shared" si="3"/>
        <v>#REF!</v>
      </c>
      <c r="N10" s="891" t="e">
        <f t="shared" si="3"/>
        <v>#REF!</v>
      </c>
      <c r="O10" s="891" t="e">
        <f t="shared" si="3"/>
        <v>#REF!</v>
      </c>
      <c r="P10" s="891">
        <f t="shared" si="3"/>
        <v>0</v>
      </c>
      <c r="Q10" s="891">
        <f t="shared" si="3"/>
        <v>0</v>
      </c>
      <c r="R10" s="891">
        <f t="shared" si="3"/>
        <v>0</v>
      </c>
      <c r="S10" s="883" t="e">
        <f t="shared" si="2"/>
        <v>#REF!</v>
      </c>
      <c r="T10" s="886"/>
      <c r="U10" s="892"/>
      <c r="V10" s="892"/>
      <c r="W10" s="886"/>
      <c r="X10" s="886"/>
      <c r="Y10" s="886"/>
      <c r="Z10" s="886"/>
      <c r="AA10" s="886"/>
    </row>
    <row r="11" spans="1:27" s="876" customFormat="1" ht="18" customHeight="1">
      <c r="A11" s="877">
        <v>1</v>
      </c>
      <c r="B11" s="893" t="s">
        <v>206</v>
      </c>
      <c r="C11" s="879" t="s">
        <v>207</v>
      </c>
      <c r="D11" s="894">
        <f>V6</f>
        <v>6.2</v>
      </c>
      <c r="E11" s="881" t="e">
        <f>E6*$D$11%</f>
        <v>#REF!</v>
      </c>
      <c r="F11" s="881" t="e">
        <f>F6*$D$11%</f>
        <v>#REF!</v>
      </c>
      <c r="G11" s="881" t="e">
        <f>G6*$D$11%</f>
        <v>#REF!</v>
      </c>
      <c r="H11" s="881">
        <f t="shared" ref="H11:K11" si="4">H6*$D$11%</f>
        <v>0</v>
      </c>
      <c r="I11" s="881">
        <f t="shared" si="4"/>
        <v>0</v>
      </c>
      <c r="J11" s="881">
        <f t="shared" si="4"/>
        <v>0</v>
      </c>
      <c r="K11" s="881" t="e">
        <f t="shared" si="4"/>
        <v>#REF!</v>
      </c>
      <c r="L11" s="881" t="e">
        <f t="shared" ref="L11:M11" si="5">L6*$D$11%*0.9</f>
        <v>#REF!</v>
      </c>
      <c r="M11" s="881" t="e">
        <f t="shared" si="5"/>
        <v>#REF!</v>
      </c>
      <c r="N11" s="881" t="e">
        <f>N6*$D$11%</f>
        <v>#REF!</v>
      </c>
      <c r="O11" s="881" t="e">
        <f>O6*$D$11%</f>
        <v>#REF!</v>
      </c>
      <c r="P11" s="881">
        <f>P6*$D$11%</f>
        <v>0</v>
      </c>
      <c r="Q11" s="881">
        <f>Q6*$D$11%</f>
        <v>0</v>
      </c>
      <c r="R11" s="881">
        <f>R6*$D$11%</f>
        <v>0</v>
      </c>
      <c r="S11" s="883" t="e">
        <f t="shared" si="2"/>
        <v>#REF!</v>
      </c>
      <c r="T11" s="895"/>
      <c r="U11" s="886"/>
      <c r="V11" s="886"/>
      <c r="W11" s="886"/>
      <c r="X11" s="886"/>
      <c r="Y11" s="886"/>
      <c r="Z11" s="886"/>
      <c r="AA11" s="886"/>
    </row>
    <row r="12" spans="1:27" s="876" customFormat="1" ht="18" customHeight="1">
      <c r="A12" s="877">
        <v>2</v>
      </c>
      <c r="B12" s="896" t="s">
        <v>208</v>
      </c>
      <c r="C12" s="879" t="s">
        <v>209</v>
      </c>
      <c r="D12" s="894">
        <f>V7</f>
        <v>2.2000000000000002</v>
      </c>
      <c r="E12" s="881" t="e">
        <f>E6*$D$12%</f>
        <v>#REF!</v>
      </c>
      <c r="F12" s="881" t="e">
        <f>F6*$D$12%</f>
        <v>#REF!</v>
      </c>
      <c r="G12" s="881" t="e">
        <f>G6*$D$12%</f>
        <v>#REF!</v>
      </c>
      <c r="H12" s="881">
        <f t="shared" ref="H12:R12" si="6">H6*$D$12%</f>
        <v>0</v>
      </c>
      <c r="I12" s="881">
        <f t="shared" si="6"/>
        <v>0</v>
      </c>
      <c r="J12" s="881">
        <f t="shared" si="6"/>
        <v>0</v>
      </c>
      <c r="K12" s="881" t="e">
        <f t="shared" si="6"/>
        <v>#REF!</v>
      </c>
      <c r="L12" s="881" t="e">
        <f t="shared" si="6"/>
        <v>#REF!</v>
      </c>
      <c r="M12" s="881" t="e">
        <f t="shared" si="6"/>
        <v>#REF!</v>
      </c>
      <c r="N12" s="881" t="e">
        <f t="shared" si="6"/>
        <v>#REF!</v>
      </c>
      <c r="O12" s="881" t="e">
        <f t="shared" si="6"/>
        <v>#REF!</v>
      </c>
      <c r="P12" s="881">
        <f t="shared" si="6"/>
        <v>0</v>
      </c>
      <c r="Q12" s="881">
        <f t="shared" si="6"/>
        <v>0</v>
      </c>
      <c r="R12" s="881">
        <f t="shared" si="6"/>
        <v>0</v>
      </c>
      <c r="S12" s="883" t="e">
        <f t="shared" si="2"/>
        <v>#REF!</v>
      </c>
      <c r="T12" s="895"/>
      <c r="U12" s="886"/>
      <c r="V12" s="886"/>
      <c r="W12" s="886"/>
      <c r="X12" s="886"/>
      <c r="Y12" s="886"/>
      <c r="Z12" s="886"/>
      <c r="AA12" s="886"/>
    </row>
    <row r="13" spans="1:27" s="876" customFormat="1" ht="24" customHeight="1">
      <c r="A13" s="877">
        <v>3</v>
      </c>
      <c r="B13" s="896" t="s">
        <v>210</v>
      </c>
      <c r="C13" s="879" t="s">
        <v>136</v>
      </c>
      <c r="D13" s="894">
        <v>2</v>
      </c>
      <c r="E13" s="881" t="e">
        <f>E6*$D$13%</f>
        <v>#REF!</v>
      </c>
      <c r="F13" s="881" t="e">
        <f>F6*$D$13%</f>
        <v>#REF!</v>
      </c>
      <c r="G13" s="881" t="e">
        <f>G6*$D$13%</f>
        <v>#REF!</v>
      </c>
      <c r="H13" s="881">
        <f t="shared" ref="H13:R13" si="7">H6*$D$13%</f>
        <v>0</v>
      </c>
      <c r="I13" s="881">
        <f t="shared" si="7"/>
        <v>0</v>
      </c>
      <c r="J13" s="881">
        <f t="shared" si="7"/>
        <v>0</v>
      </c>
      <c r="K13" s="881" t="e">
        <f t="shared" si="7"/>
        <v>#REF!</v>
      </c>
      <c r="L13" s="881" t="e">
        <f t="shared" si="7"/>
        <v>#REF!</v>
      </c>
      <c r="M13" s="881" t="e">
        <f t="shared" si="7"/>
        <v>#REF!</v>
      </c>
      <c r="N13" s="881" t="e">
        <f t="shared" si="7"/>
        <v>#REF!</v>
      </c>
      <c r="O13" s="881" t="e">
        <f t="shared" si="7"/>
        <v>#REF!</v>
      </c>
      <c r="P13" s="881">
        <f t="shared" si="7"/>
        <v>0</v>
      </c>
      <c r="Q13" s="881">
        <f t="shared" si="7"/>
        <v>0</v>
      </c>
      <c r="R13" s="881">
        <f t="shared" si="7"/>
        <v>0</v>
      </c>
      <c r="S13" s="883" t="e">
        <f t="shared" si="2"/>
        <v>#REF!</v>
      </c>
      <c r="T13" s="895"/>
      <c r="U13" s="886"/>
      <c r="V13" s="886"/>
      <c r="W13" s="886"/>
      <c r="X13" s="886"/>
      <c r="Y13" s="886"/>
      <c r="Z13" s="886"/>
      <c r="AA13" s="886"/>
    </row>
    <row r="14" spans="1:27" s="876" customFormat="1" ht="18" hidden="1" customHeight="1">
      <c r="A14" s="877">
        <v>4</v>
      </c>
      <c r="B14" s="897" t="s">
        <v>211</v>
      </c>
      <c r="C14" s="879" t="s">
        <v>212</v>
      </c>
      <c r="D14" s="898"/>
      <c r="E14" s="881"/>
      <c r="F14" s="881"/>
      <c r="G14" s="881"/>
      <c r="H14" s="881"/>
      <c r="I14" s="881"/>
      <c r="J14" s="881"/>
      <c r="K14" s="881"/>
      <c r="L14" s="881"/>
      <c r="M14" s="881"/>
      <c r="N14" s="881"/>
      <c r="O14" s="881"/>
      <c r="P14" s="881"/>
      <c r="Q14" s="881"/>
      <c r="R14" s="881"/>
      <c r="S14" s="883">
        <f>+SUM(E14:R14)</f>
        <v>0</v>
      </c>
      <c r="T14" s="886"/>
      <c r="U14" s="886"/>
      <c r="V14" s="886"/>
      <c r="W14" s="886"/>
      <c r="X14" s="886"/>
      <c r="Y14" s="886"/>
      <c r="Z14" s="886"/>
      <c r="AA14" s="886"/>
    </row>
    <row r="15" spans="1:27" s="876" customFormat="1" ht="18" customHeight="1">
      <c r="A15" s="889" t="s">
        <v>213</v>
      </c>
      <c r="B15" s="899" t="s">
        <v>214</v>
      </c>
      <c r="C15" s="879" t="s">
        <v>215</v>
      </c>
      <c r="D15" s="900">
        <v>6</v>
      </c>
      <c r="E15" s="881" t="e">
        <f>(E6+E10)*$D$15%</f>
        <v>#REF!</v>
      </c>
      <c r="F15" s="881" t="e">
        <f>(F6+F10)*$D$15%</f>
        <v>#REF!</v>
      </c>
      <c r="G15" s="881" t="e">
        <f>(G6+G10)*$D$15%</f>
        <v>#REF!</v>
      </c>
      <c r="H15" s="881">
        <f t="shared" ref="H15:R15" si="8">(H6+H10)*$D$15%</f>
        <v>0</v>
      </c>
      <c r="I15" s="881">
        <f t="shared" si="8"/>
        <v>0</v>
      </c>
      <c r="J15" s="881">
        <f t="shared" si="8"/>
        <v>0</v>
      </c>
      <c r="K15" s="881" t="e">
        <f t="shared" si="8"/>
        <v>#REF!</v>
      </c>
      <c r="L15" s="881" t="e">
        <f t="shared" si="8"/>
        <v>#REF!</v>
      </c>
      <c r="M15" s="881" t="e">
        <f t="shared" si="8"/>
        <v>#REF!</v>
      </c>
      <c r="N15" s="881" t="e">
        <f t="shared" si="8"/>
        <v>#REF!</v>
      </c>
      <c r="O15" s="881" t="e">
        <f t="shared" si="8"/>
        <v>#REF!</v>
      </c>
      <c r="P15" s="881">
        <f t="shared" si="8"/>
        <v>0</v>
      </c>
      <c r="Q15" s="881">
        <f t="shared" si="8"/>
        <v>0</v>
      </c>
      <c r="R15" s="881">
        <f t="shared" si="8"/>
        <v>0</v>
      </c>
      <c r="S15" s="883" t="e">
        <f t="shared" si="2"/>
        <v>#REF!</v>
      </c>
      <c r="T15" s="886"/>
      <c r="U15" s="886"/>
      <c r="V15" s="886"/>
      <c r="W15" s="886"/>
      <c r="X15" s="886"/>
      <c r="Y15" s="886"/>
      <c r="Z15" s="886"/>
      <c r="AA15" s="886"/>
    </row>
    <row r="16" spans="1:27" s="876" customFormat="1" ht="18" customHeight="1">
      <c r="A16" s="889" t="s">
        <v>216</v>
      </c>
      <c r="B16" s="901" t="s">
        <v>217</v>
      </c>
      <c r="C16" s="879" t="s">
        <v>218</v>
      </c>
      <c r="D16" s="879" t="s">
        <v>219</v>
      </c>
      <c r="E16" s="881" t="e">
        <f>E15+E10+E6</f>
        <v>#REF!</v>
      </c>
      <c r="F16" s="881" t="e">
        <f>F15+F10+F6</f>
        <v>#REF!</v>
      </c>
      <c r="G16" s="881" t="e">
        <f>G15+G10+G6</f>
        <v>#REF!</v>
      </c>
      <c r="H16" s="881">
        <f t="shared" ref="H16:R16" si="9">H15+H10+H6</f>
        <v>0</v>
      </c>
      <c r="I16" s="881">
        <f t="shared" si="9"/>
        <v>0</v>
      </c>
      <c r="J16" s="881">
        <f t="shared" si="9"/>
        <v>0</v>
      </c>
      <c r="K16" s="881" t="e">
        <f t="shared" si="9"/>
        <v>#REF!</v>
      </c>
      <c r="L16" s="881" t="e">
        <f t="shared" si="9"/>
        <v>#REF!</v>
      </c>
      <c r="M16" s="881" t="e">
        <f t="shared" si="9"/>
        <v>#REF!</v>
      </c>
      <c r="N16" s="881" t="e">
        <f t="shared" si="9"/>
        <v>#REF!</v>
      </c>
      <c r="O16" s="881" t="e">
        <f t="shared" si="9"/>
        <v>#REF!</v>
      </c>
      <c r="P16" s="881">
        <f t="shared" si="9"/>
        <v>0</v>
      </c>
      <c r="Q16" s="881">
        <f t="shared" si="9"/>
        <v>0</v>
      </c>
      <c r="R16" s="881">
        <f t="shared" si="9"/>
        <v>0</v>
      </c>
      <c r="S16" s="883" t="e">
        <f t="shared" si="2"/>
        <v>#REF!</v>
      </c>
      <c r="T16" s="886"/>
      <c r="U16" s="886"/>
      <c r="V16" s="886"/>
      <c r="W16" s="886"/>
      <c r="X16" s="886"/>
      <c r="Y16" s="886"/>
      <c r="Z16" s="886"/>
      <c r="AA16" s="886"/>
    </row>
    <row r="17" spans="1:27" s="876" customFormat="1" ht="18" customHeight="1">
      <c r="A17" s="902" t="s">
        <v>220</v>
      </c>
      <c r="B17" s="903" t="s">
        <v>221</v>
      </c>
      <c r="C17" s="879" t="s">
        <v>222</v>
      </c>
      <c r="D17" s="904">
        <v>10</v>
      </c>
      <c r="E17" s="905" t="e">
        <f>E16*$D$17%</f>
        <v>#REF!</v>
      </c>
      <c r="F17" s="905" t="e">
        <f>F16*$D$17%</f>
        <v>#REF!</v>
      </c>
      <c r="G17" s="905" t="e">
        <f>G16*$D$17%</f>
        <v>#REF!</v>
      </c>
      <c r="H17" s="905">
        <f t="shared" ref="H17:R17" si="10">H16*$D$17%</f>
        <v>0</v>
      </c>
      <c r="I17" s="905">
        <f t="shared" si="10"/>
        <v>0</v>
      </c>
      <c r="J17" s="905">
        <f t="shared" si="10"/>
        <v>0</v>
      </c>
      <c r="K17" s="905" t="e">
        <f t="shared" si="10"/>
        <v>#REF!</v>
      </c>
      <c r="L17" s="905" t="e">
        <f t="shared" si="10"/>
        <v>#REF!</v>
      </c>
      <c r="M17" s="905" t="e">
        <f t="shared" si="10"/>
        <v>#REF!</v>
      </c>
      <c r="N17" s="905" t="e">
        <f t="shared" si="10"/>
        <v>#REF!</v>
      </c>
      <c r="O17" s="905" t="e">
        <f t="shared" si="10"/>
        <v>#REF!</v>
      </c>
      <c r="P17" s="905">
        <f t="shared" si="10"/>
        <v>0</v>
      </c>
      <c r="Q17" s="905">
        <f t="shared" si="10"/>
        <v>0</v>
      </c>
      <c r="R17" s="905">
        <f t="shared" si="10"/>
        <v>0</v>
      </c>
      <c r="S17" s="883" t="e">
        <f t="shared" si="2"/>
        <v>#REF!</v>
      </c>
      <c r="T17" s="906"/>
      <c r="U17" s="906"/>
      <c r="V17" s="906"/>
      <c r="W17" s="906"/>
      <c r="X17" s="906"/>
      <c r="Y17" s="906"/>
      <c r="Z17" s="906"/>
      <c r="AA17" s="906"/>
    </row>
    <row r="18" spans="1:27" s="915" customFormat="1" ht="18" customHeight="1">
      <c r="A18" s="907" t="s">
        <v>223</v>
      </c>
      <c r="B18" s="908" t="s">
        <v>224</v>
      </c>
      <c r="C18" s="909" t="s">
        <v>225</v>
      </c>
      <c r="D18" s="909" t="s">
        <v>192</v>
      </c>
      <c r="E18" s="910" t="e">
        <f t="shared" ref="E18:R18" si="11">SUM(E16:E17)</f>
        <v>#REF!</v>
      </c>
      <c r="F18" s="910" t="e">
        <f t="shared" ref="F18:G18" si="12">SUM(F16:F17)</f>
        <v>#REF!</v>
      </c>
      <c r="G18" s="910" t="e">
        <f t="shared" si="12"/>
        <v>#REF!</v>
      </c>
      <c r="H18" s="910">
        <f t="shared" si="11"/>
        <v>0</v>
      </c>
      <c r="I18" s="910">
        <f t="shared" ref="I18" si="13">SUM(I16:I17)</f>
        <v>0</v>
      </c>
      <c r="J18" s="910">
        <f t="shared" si="11"/>
        <v>0</v>
      </c>
      <c r="K18" s="910" t="e">
        <f t="shared" si="11"/>
        <v>#REF!</v>
      </c>
      <c r="L18" s="910" t="e">
        <f t="shared" si="11"/>
        <v>#REF!</v>
      </c>
      <c r="M18" s="910" t="e">
        <f t="shared" si="11"/>
        <v>#REF!</v>
      </c>
      <c r="N18" s="910" t="e">
        <f t="shared" si="11"/>
        <v>#REF!</v>
      </c>
      <c r="O18" s="910" t="e">
        <f t="shared" si="11"/>
        <v>#REF!</v>
      </c>
      <c r="P18" s="910">
        <f t="shared" si="11"/>
        <v>0</v>
      </c>
      <c r="Q18" s="910">
        <f t="shared" si="11"/>
        <v>0</v>
      </c>
      <c r="R18" s="910">
        <f t="shared" si="11"/>
        <v>0</v>
      </c>
      <c r="S18" s="911" t="e">
        <f t="shared" si="2"/>
        <v>#REF!</v>
      </c>
      <c r="T18" s="912"/>
      <c r="U18" s="913" t="e">
        <f>S18/(S7+S8+S9)</f>
        <v>#REF!</v>
      </c>
      <c r="V18" s="914"/>
      <c r="W18" s="914"/>
      <c r="X18" s="914"/>
      <c r="Y18" s="914"/>
      <c r="Z18" s="914"/>
      <c r="AA18" s="914"/>
    </row>
    <row r="19" spans="1:27" s="876" customFormat="1" ht="18" hidden="1" customHeight="1">
      <c r="A19" s="907"/>
      <c r="B19" s="908"/>
      <c r="C19" s="909"/>
      <c r="D19" s="909"/>
      <c r="E19" s="910"/>
      <c r="F19" s="910"/>
      <c r="G19" s="910"/>
      <c r="H19" s="910"/>
      <c r="I19" s="910"/>
      <c r="J19" s="910"/>
      <c r="K19" s="910"/>
      <c r="L19" s="910"/>
      <c r="M19" s="910"/>
      <c r="N19" s="910"/>
      <c r="O19" s="910"/>
      <c r="P19" s="910"/>
      <c r="Q19" s="910"/>
      <c r="R19" s="910"/>
      <c r="S19" s="911"/>
      <c r="T19" s="914"/>
      <c r="U19" s="914"/>
      <c r="V19" s="914"/>
      <c r="W19" s="914"/>
      <c r="X19" s="914"/>
      <c r="Y19" s="914"/>
      <c r="Z19" s="914"/>
      <c r="AA19" s="914"/>
    </row>
    <row r="20" spans="1:27" s="918" customFormat="1" ht="18" hidden="1" customHeight="1">
      <c r="A20" s="907" t="s">
        <v>202</v>
      </c>
      <c r="B20" s="916" t="s">
        <v>226</v>
      </c>
      <c r="C20" s="909" t="s">
        <v>227</v>
      </c>
      <c r="D20" s="909" t="str">
        <f>C21&amp;"+"&amp;C22</f>
        <v>LT+TK</v>
      </c>
      <c r="E20" s="910" t="e">
        <f t="shared" ref="E20:R20" si="14">SUM(E21:E22)</f>
        <v>#REF!</v>
      </c>
      <c r="F20" s="910"/>
      <c r="G20" s="910"/>
      <c r="H20" s="910">
        <f t="shared" si="14"/>
        <v>0</v>
      </c>
      <c r="I20" s="910"/>
      <c r="J20" s="910">
        <f t="shared" si="14"/>
        <v>0</v>
      </c>
      <c r="K20" s="910" t="e">
        <f>SUM(K21:K22)</f>
        <v>#REF!</v>
      </c>
      <c r="L20" s="910" t="e">
        <f t="shared" si="14"/>
        <v>#REF!</v>
      </c>
      <c r="M20" s="910" t="e">
        <f t="shared" si="14"/>
        <v>#REF!</v>
      </c>
      <c r="N20" s="910" t="e">
        <f t="shared" si="14"/>
        <v>#REF!</v>
      </c>
      <c r="O20" s="910" t="e">
        <f t="shared" si="14"/>
        <v>#REF!</v>
      </c>
      <c r="P20" s="910">
        <f>SUM(P21:P22)</f>
        <v>0</v>
      </c>
      <c r="Q20" s="910">
        <f>SUM(Q21:Q22)</f>
        <v>0</v>
      </c>
      <c r="R20" s="910">
        <f t="shared" si="14"/>
        <v>0</v>
      </c>
      <c r="S20" s="911" t="e">
        <f>+SUM(E20:R20)</f>
        <v>#REF!</v>
      </c>
      <c r="T20" s="917"/>
      <c r="U20" s="917"/>
      <c r="V20" s="917"/>
      <c r="W20" s="917"/>
      <c r="X20" s="917"/>
      <c r="Y20" s="917"/>
      <c r="Z20" s="917"/>
      <c r="AA20" s="917"/>
    </row>
    <row r="21" spans="1:27" s="918" customFormat="1" ht="18" hidden="1" customHeight="1">
      <c r="A21" s="902">
        <v>1</v>
      </c>
      <c r="B21" s="893" t="s">
        <v>228</v>
      </c>
      <c r="C21" s="879" t="s">
        <v>209</v>
      </c>
      <c r="D21" s="919">
        <v>0</v>
      </c>
      <c r="E21" s="905" t="e">
        <f t="shared" ref="E21:R21" si="15">E6*$D$21%</f>
        <v>#REF!</v>
      </c>
      <c r="F21" s="905"/>
      <c r="G21" s="905"/>
      <c r="H21" s="905">
        <f t="shared" si="15"/>
        <v>0</v>
      </c>
      <c r="I21" s="905"/>
      <c r="J21" s="905">
        <f t="shared" si="15"/>
        <v>0</v>
      </c>
      <c r="K21" s="905" t="e">
        <f>K6*$D$21%</f>
        <v>#REF!</v>
      </c>
      <c r="L21" s="905" t="e">
        <f t="shared" si="15"/>
        <v>#REF!</v>
      </c>
      <c r="M21" s="905" t="e">
        <f t="shared" si="15"/>
        <v>#REF!</v>
      </c>
      <c r="N21" s="905" t="e">
        <f t="shared" si="15"/>
        <v>#REF!</v>
      </c>
      <c r="O21" s="905" t="e">
        <f t="shared" si="15"/>
        <v>#REF!</v>
      </c>
      <c r="P21" s="905">
        <f>P6*1%</f>
        <v>0</v>
      </c>
      <c r="Q21" s="905">
        <f>Q6*$D$21%</f>
        <v>0</v>
      </c>
      <c r="R21" s="905">
        <f t="shared" si="15"/>
        <v>0</v>
      </c>
      <c r="S21" s="883" t="e">
        <f>+SUM(E21:R21)</f>
        <v>#REF!</v>
      </c>
      <c r="T21" s="920"/>
      <c r="U21" s="920"/>
      <c r="V21" s="920"/>
      <c r="W21" s="920"/>
      <c r="X21" s="920"/>
      <c r="Y21" s="920"/>
      <c r="Z21" s="920"/>
      <c r="AA21" s="920"/>
    </row>
    <row r="22" spans="1:27" s="918" customFormat="1" ht="18" hidden="1" customHeight="1">
      <c r="A22" s="902">
        <v>2</v>
      </c>
      <c r="B22" s="893" t="s">
        <v>229</v>
      </c>
      <c r="C22" s="879" t="s">
        <v>230</v>
      </c>
      <c r="D22" s="919">
        <v>0</v>
      </c>
      <c r="E22" s="905" t="e">
        <f t="shared" ref="E22:R22" si="16">E6*$D$22%</f>
        <v>#REF!</v>
      </c>
      <c r="F22" s="905"/>
      <c r="G22" s="905"/>
      <c r="H22" s="905">
        <f t="shared" si="16"/>
        <v>0</v>
      </c>
      <c r="I22" s="905"/>
      <c r="J22" s="905">
        <f t="shared" si="16"/>
        <v>0</v>
      </c>
      <c r="K22" s="905" t="e">
        <f>K6*$D$22%</f>
        <v>#REF!</v>
      </c>
      <c r="L22" s="905" t="e">
        <f t="shared" si="16"/>
        <v>#REF!</v>
      </c>
      <c r="M22" s="905" t="e">
        <f t="shared" si="16"/>
        <v>#REF!</v>
      </c>
      <c r="N22" s="905" t="e">
        <f t="shared" si="16"/>
        <v>#REF!</v>
      </c>
      <c r="O22" s="905" t="e">
        <f t="shared" si="16"/>
        <v>#REF!</v>
      </c>
      <c r="P22" s="905">
        <f>P6*$D$22%</f>
        <v>0</v>
      </c>
      <c r="Q22" s="905">
        <f>Q6*$D$22%</f>
        <v>0</v>
      </c>
      <c r="R22" s="905">
        <f t="shared" si="16"/>
        <v>0</v>
      </c>
      <c r="S22" s="883" t="e">
        <f>+SUM(E22:R22)</f>
        <v>#REF!</v>
      </c>
      <c r="T22" s="921" t="e">
        <f>S20+S6</f>
        <v>#REF!</v>
      </c>
      <c r="U22" s="920"/>
      <c r="V22" s="920"/>
      <c r="W22" s="920"/>
      <c r="X22" s="920"/>
      <c r="Y22" s="920"/>
      <c r="Z22" s="920"/>
      <c r="AA22" s="920"/>
    </row>
    <row r="23" spans="1:27" s="918" customFormat="1" ht="18" customHeight="1" thickBot="1">
      <c r="A23" s="922"/>
      <c r="B23" s="923"/>
      <c r="C23" s="924"/>
      <c r="D23" s="924"/>
      <c r="E23" s="925"/>
      <c r="F23" s="925"/>
      <c r="G23" s="925"/>
      <c r="H23" s="925"/>
      <c r="I23" s="925"/>
      <c r="J23" s="925"/>
      <c r="K23" s="925"/>
      <c r="L23" s="925"/>
      <c r="M23" s="925"/>
      <c r="N23" s="925"/>
      <c r="O23" s="925"/>
      <c r="P23" s="925"/>
      <c r="Q23" s="925"/>
      <c r="R23" s="925"/>
      <c r="S23" s="926"/>
      <c r="T23" s="927" t="e">
        <f>T22/SUM(S7:S9)</f>
        <v>#REF!</v>
      </c>
      <c r="U23" s="917"/>
      <c r="V23" s="917"/>
      <c r="W23" s="917"/>
      <c r="X23" s="917"/>
      <c r="Y23" s="917"/>
      <c r="Z23" s="917"/>
      <c r="AA23" s="917"/>
    </row>
    <row r="24" spans="1:27" s="918" customFormat="1" ht="18" hidden="1" customHeight="1" thickTop="1">
      <c r="A24" s="928">
        <v>14</v>
      </c>
      <c r="B24" s="929" t="s">
        <v>231</v>
      </c>
      <c r="C24" s="930" t="s">
        <v>232</v>
      </c>
      <c r="D24" s="930"/>
      <c r="E24" s="931">
        <f>E25+E26</f>
        <v>0</v>
      </c>
      <c r="F24" s="931"/>
      <c r="G24" s="931"/>
      <c r="H24" s="931"/>
      <c r="I24" s="931"/>
      <c r="J24" s="932">
        <f>J25+J26</f>
        <v>0</v>
      </c>
      <c r="K24" s="932"/>
      <c r="L24" s="932"/>
      <c r="M24" s="932"/>
      <c r="N24" s="932"/>
      <c r="O24" s="932"/>
      <c r="P24" s="932"/>
      <c r="Q24" s="932"/>
      <c r="R24" s="932"/>
      <c r="S24" s="933">
        <f>SUM(S25:S26)</f>
        <v>0</v>
      </c>
      <c r="T24" s="934"/>
      <c r="U24" s="917"/>
      <c r="V24" s="917"/>
      <c r="W24" s="917"/>
      <c r="X24" s="917"/>
      <c r="Y24" s="917"/>
      <c r="Z24" s="917"/>
      <c r="AA24" s="917"/>
    </row>
    <row r="25" spans="1:27" s="918" customFormat="1" ht="18" hidden="1" customHeight="1">
      <c r="A25" s="889" t="s">
        <v>233</v>
      </c>
      <c r="B25" s="935" t="s">
        <v>234</v>
      </c>
      <c r="C25" s="909"/>
      <c r="D25" s="936" t="s">
        <v>235</v>
      </c>
      <c r="E25" s="881"/>
      <c r="F25" s="881"/>
      <c r="G25" s="881"/>
      <c r="H25" s="881"/>
      <c r="I25" s="881"/>
      <c r="J25" s="882"/>
      <c r="K25" s="882"/>
      <c r="L25" s="882"/>
      <c r="M25" s="882"/>
      <c r="N25" s="882"/>
      <c r="O25" s="882"/>
      <c r="P25" s="882"/>
      <c r="Q25" s="882"/>
      <c r="R25" s="882"/>
      <c r="S25" s="937">
        <f>SUM(E25:R25)</f>
        <v>0</v>
      </c>
      <c r="T25" s="917"/>
      <c r="U25" s="917"/>
      <c r="V25" s="917"/>
      <c r="W25" s="917"/>
      <c r="X25" s="917"/>
      <c r="Y25" s="917"/>
      <c r="Z25" s="917"/>
      <c r="AA25" s="917"/>
    </row>
    <row r="26" spans="1:27" s="918" customFormat="1" ht="18" hidden="1" customHeight="1" thickBot="1">
      <c r="A26" s="938" t="s">
        <v>236</v>
      </c>
      <c r="B26" s="923" t="s">
        <v>237</v>
      </c>
      <c r="C26" s="939"/>
      <c r="D26" s="940" t="s">
        <v>238</v>
      </c>
      <c r="E26" s="941"/>
      <c r="F26" s="941"/>
      <c r="G26" s="941"/>
      <c r="H26" s="941"/>
      <c r="I26" s="941"/>
      <c r="J26" s="942"/>
      <c r="K26" s="942"/>
      <c r="L26" s="942"/>
      <c r="M26" s="942"/>
      <c r="N26" s="942"/>
      <c r="O26" s="942"/>
      <c r="P26" s="942"/>
      <c r="Q26" s="942"/>
      <c r="R26" s="942"/>
      <c r="S26" s="943">
        <f>SUM(E26:R26)</f>
        <v>0</v>
      </c>
      <c r="T26" s="944"/>
      <c r="U26" s="945"/>
      <c r="V26" s="945"/>
      <c r="W26" s="945"/>
      <c r="X26" s="945"/>
      <c r="Y26" s="945"/>
      <c r="Z26" s="945"/>
      <c r="AA26" s="945"/>
    </row>
    <row r="27" spans="1:27" s="863" customFormat="1" ht="6" customHeight="1" thickTop="1">
      <c r="A27" s="946"/>
      <c r="B27" s="947"/>
      <c r="C27" s="948"/>
      <c r="D27" s="947"/>
      <c r="E27" s="947"/>
      <c r="F27" s="947"/>
      <c r="G27" s="947"/>
      <c r="H27" s="947"/>
      <c r="I27" s="947"/>
      <c r="J27" s="947"/>
      <c r="K27" s="947"/>
      <c r="L27" s="947"/>
      <c r="M27" s="947"/>
      <c r="N27" s="947"/>
      <c r="O27" s="947"/>
      <c r="P27" s="947"/>
      <c r="Q27" s="947"/>
      <c r="R27" s="947"/>
      <c r="S27" s="947"/>
      <c r="T27" s="862"/>
      <c r="U27" s="862"/>
      <c r="V27" s="862"/>
      <c r="W27" s="862"/>
      <c r="X27" s="862"/>
      <c r="Y27" s="862"/>
      <c r="Z27" s="862"/>
      <c r="AA27" s="862"/>
    </row>
    <row r="28" spans="1:27" s="863" customFormat="1" hidden="1">
      <c r="A28" s="949"/>
      <c r="B28" s="862"/>
      <c r="C28" s="950"/>
      <c r="D28" s="862"/>
      <c r="E28" s="888"/>
      <c r="F28" s="888"/>
      <c r="G28" s="888"/>
      <c r="H28" s="888"/>
      <c r="I28" s="888"/>
      <c r="J28" s="888"/>
      <c r="K28" s="888"/>
      <c r="L28" s="888"/>
      <c r="M28" s="888"/>
      <c r="N28" s="888"/>
      <c r="O28" s="888"/>
      <c r="P28" s="888"/>
      <c r="Q28" s="888"/>
      <c r="R28" s="888"/>
      <c r="S28" s="888"/>
      <c r="T28" s="862"/>
      <c r="U28" s="862"/>
      <c r="V28" s="862"/>
      <c r="W28" s="862"/>
      <c r="X28" s="862"/>
      <c r="Y28" s="862"/>
      <c r="Z28" s="862"/>
      <c r="AA28" s="862"/>
    </row>
    <row r="29" spans="1:27" s="863" customFormat="1" hidden="1">
      <c r="A29" s="949"/>
      <c r="B29" s="862"/>
      <c r="C29" s="950"/>
      <c r="D29" s="862"/>
      <c r="E29" s="862"/>
      <c r="F29" s="862"/>
      <c r="G29" s="862"/>
      <c r="H29" s="862"/>
      <c r="I29" s="862"/>
      <c r="J29" s="862"/>
      <c r="K29" s="862"/>
      <c r="L29" s="862"/>
      <c r="M29" s="862"/>
      <c r="N29" s="862"/>
      <c r="O29" s="862"/>
      <c r="P29" s="862"/>
      <c r="Q29" s="862"/>
      <c r="R29" s="862"/>
      <c r="S29" s="862"/>
      <c r="T29" s="862"/>
      <c r="U29" s="862"/>
      <c r="V29" s="862"/>
      <c r="W29" s="862"/>
      <c r="X29" s="862"/>
      <c r="Y29" s="862"/>
      <c r="Z29" s="862"/>
      <c r="AA29" s="862"/>
    </row>
    <row r="30" spans="1:27" s="958" customFormat="1" ht="16.5">
      <c r="A30" s="951"/>
      <c r="B30" s="1026" t="s">
        <v>1805</v>
      </c>
      <c r="C30" s="862"/>
      <c r="D30" s="952"/>
      <c r="E30" s="953"/>
      <c r="F30" s="953"/>
      <c r="G30" s="953"/>
      <c r="H30" s="863"/>
      <c r="I30" s="863"/>
      <c r="K30" s="954" t="s">
        <v>1026</v>
      </c>
      <c r="L30" s="955"/>
      <c r="M30" s="955"/>
      <c r="N30" s="955"/>
      <c r="O30" s="955"/>
      <c r="P30" s="955"/>
      <c r="Q30" s="955"/>
      <c r="R30" s="955"/>
      <c r="S30" s="956"/>
      <c r="T30" s="957"/>
      <c r="U30" s="957"/>
      <c r="V30" s="957"/>
      <c r="W30" s="957"/>
      <c r="X30" s="957"/>
      <c r="Y30" s="957"/>
      <c r="Z30" s="957"/>
      <c r="AA30" s="957"/>
    </row>
    <row r="31" spans="1:27" s="958" customFormat="1" ht="16.5">
      <c r="A31" s="951"/>
      <c r="B31" s="1027"/>
      <c r="C31" s="862"/>
      <c r="D31" s="862"/>
      <c r="E31" s="862"/>
      <c r="F31" s="862"/>
      <c r="G31" s="862"/>
      <c r="H31" s="863"/>
      <c r="I31" s="863"/>
      <c r="K31" s="1026" t="s">
        <v>1806</v>
      </c>
      <c r="L31" s="959"/>
      <c r="M31" s="959"/>
      <c r="N31" s="959"/>
      <c r="O31" s="959"/>
      <c r="P31" s="959"/>
      <c r="Q31" s="959"/>
      <c r="R31" s="959"/>
      <c r="S31" s="955"/>
      <c r="T31" s="957"/>
      <c r="U31" s="957"/>
      <c r="V31" s="957"/>
      <c r="W31" s="957"/>
      <c r="X31" s="957"/>
      <c r="Y31" s="957"/>
      <c r="Z31" s="957"/>
      <c r="AA31" s="957"/>
    </row>
    <row r="32" spans="1:27" s="958" customFormat="1" ht="17.25">
      <c r="A32" s="951"/>
      <c r="B32" s="1027"/>
      <c r="C32" s="862"/>
      <c r="D32" s="862"/>
      <c r="E32" s="960"/>
      <c r="F32" s="960"/>
      <c r="G32" s="960"/>
      <c r="H32" s="863"/>
      <c r="I32" s="863"/>
      <c r="K32" s="1023"/>
      <c r="L32" s="960"/>
      <c r="M32" s="960"/>
      <c r="N32" s="960"/>
      <c r="O32" s="960"/>
      <c r="P32" s="960"/>
      <c r="Q32" s="960"/>
      <c r="R32" s="960"/>
      <c r="S32" s="955"/>
      <c r="T32" s="957"/>
      <c r="U32" s="957"/>
      <c r="V32" s="957"/>
      <c r="W32" s="957"/>
      <c r="X32" s="957"/>
      <c r="Y32" s="957"/>
      <c r="Z32" s="957"/>
      <c r="AA32" s="957"/>
    </row>
    <row r="33" spans="1:27" s="958" customFormat="1" ht="20.25" customHeight="1">
      <c r="A33" s="961"/>
      <c r="B33" s="1027"/>
      <c r="C33" s="962"/>
      <c r="D33" s="862"/>
      <c r="E33" s="862"/>
      <c r="F33" s="862"/>
      <c r="G33" s="862"/>
      <c r="H33" s="863"/>
      <c r="I33" s="863"/>
      <c r="K33" s="1023"/>
      <c r="L33" s="959"/>
      <c r="M33" s="959"/>
      <c r="N33" s="959"/>
      <c r="O33" s="959"/>
      <c r="P33" s="959"/>
      <c r="Q33" s="959"/>
      <c r="R33" s="959"/>
      <c r="S33" s="955"/>
      <c r="T33" s="963"/>
      <c r="U33" s="963"/>
      <c r="V33" s="963"/>
      <c r="W33" s="963"/>
      <c r="X33" s="963"/>
      <c r="Y33" s="963"/>
      <c r="Z33" s="963"/>
      <c r="AA33" s="963"/>
    </row>
    <row r="34" spans="1:27" s="958" customFormat="1" ht="17.25">
      <c r="A34" s="964"/>
      <c r="B34" s="1028" t="s">
        <v>1807</v>
      </c>
      <c r="C34" s="862"/>
      <c r="D34" s="962"/>
      <c r="E34" s="962"/>
      <c r="F34" s="962"/>
      <c r="G34" s="962"/>
      <c r="H34" s="863"/>
      <c r="I34" s="863"/>
      <c r="K34" s="1003"/>
      <c r="L34" s="955"/>
      <c r="M34" s="955"/>
      <c r="N34" s="955"/>
      <c r="O34" s="955"/>
      <c r="P34" s="955"/>
      <c r="Q34" s="955"/>
      <c r="R34" s="955"/>
      <c r="S34" s="956"/>
      <c r="T34" s="957"/>
      <c r="U34" s="965"/>
      <c r="V34" s="965"/>
      <c r="W34" s="957"/>
      <c r="X34" s="957"/>
      <c r="Y34" s="957"/>
      <c r="Z34" s="957"/>
      <c r="AA34" s="957"/>
    </row>
    <row r="35" spans="1:27" s="958" customFormat="1" ht="16.5">
      <c r="A35" s="964"/>
      <c r="B35" s="966"/>
      <c r="C35" s="862"/>
      <c r="D35" s="862"/>
      <c r="E35" s="862"/>
      <c r="F35" s="862"/>
      <c r="G35" s="862"/>
      <c r="H35" s="863"/>
      <c r="I35" s="863"/>
      <c r="K35" s="1028" t="s">
        <v>1808</v>
      </c>
      <c r="L35" s="959"/>
      <c r="M35" s="959"/>
      <c r="N35" s="959"/>
      <c r="O35" s="959"/>
      <c r="P35" s="959"/>
      <c r="Q35" s="959"/>
      <c r="R35" s="959"/>
      <c r="S35" s="956"/>
      <c r="T35" s="957"/>
      <c r="U35" s="957"/>
      <c r="V35" s="957"/>
      <c r="W35" s="957"/>
      <c r="X35" s="957"/>
      <c r="Y35" s="957"/>
      <c r="Z35" s="957"/>
      <c r="AA35" s="957"/>
    </row>
    <row r="36" spans="1:27" s="958" customFormat="1" ht="15.75">
      <c r="A36" s="967"/>
      <c r="B36" s="968"/>
      <c r="C36" s="863"/>
      <c r="D36" s="862"/>
      <c r="E36" s="862"/>
      <c r="F36" s="862"/>
      <c r="G36" s="862"/>
      <c r="H36" s="863"/>
      <c r="I36" s="863"/>
      <c r="K36" s="1029" t="s">
        <v>1791</v>
      </c>
      <c r="L36" s="969"/>
      <c r="M36" s="969"/>
      <c r="N36" s="969"/>
      <c r="O36" s="969"/>
      <c r="P36" s="969"/>
      <c r="Q36" s="969"/>
      <c r="R36" s="862"/>
      <c r="S36" s="862"/>
    </row>
    <row r="37" spans="1:27" s="863" customFormat="1">
      <c r="A37" s="970"/>
    </row>
    <row r="38" spans="1:27" s="863" customFormat="1">
      <c r="A38" s="970"/>
    </row>
    <row r="39" spans="1:27" s="863" customFormat="1">
      <c r="A39" s="970"/>
    </row>
    <row r="40" spans="1:27" s="863" customFormat="1">
      <c r="A40" s="970"/>
    </row>
    <row r="41" spans="1:27" s="863" customFormat="1">
      <c r="A41" s="970"/>
    </row>
    <row r="42" spans="1:27" s="863" customFormat="1">
      <c r="A42" s="970"/>
    </row>
    <row r="43" spans="1:27" s="863" customFormat="1">
      <c r="A43" s="970"/>
    </row>
    <row r="44" spans="1:27" s="863" customFormat="1">
      <c r="A44" s="970"/>
    </row>
    <row r="45" spans="1:27" s="863" customFormat="1">
      <c r="A45" s="970"/>
    </row>
    <row r="46" spans="1:27" s="863" customFormat="1">
      <c r="A46" s="970"/>
    </row>
  </sheetData>
  <mergeCells count="4">
    <mergeCell ref="A1:S1"/>
    <mergeCell ref="A2:S2"/>
    <mergeCell ref="A3:S3"/>
    <mergeCell ref="A4:S4"/>
  </mergeCells>
  <pageMargins left="0.96" right="0.2" top="0.76" bottom="0.2" header="0.5" footer="0.34"/>
  <pageSetup paperSize="9" orientation="landscape" r:id="rId1"/>
  <headerFooter alignWithMargins="0"/>
  <legacyDrawing r:id="rId2"/>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8A5AE-0225-4D93-AA2A-FC4688D29C09}">
  <sheetPr filterMode="1"/>
  <dimension ref="A1:R964"/>
  <sheetViews>
    <sheetView showZeros="0" workbookViewId="0">
      <pane xSplit="4" ySplit="6" topLeftCell="E909" activePane="bottomRight" state="frozen"/>
      <selection activeCell="H77" sqref="H77"/>
      <selection pane="topRight" activeCell="H77" sqref="H77"/>
      <selection pane="bottomLeft" activeCell="H77" sqref="H77"/>
      <selection pane="bottomRight" activeCell="E248" sqref="E248:E936"/>
    </sheetView>
  </sheetViews>
  <sheetFormatPr defaultRowHeight="14.25"/>
  <cols>
    <col min="1" max="1" width="4" style="718" customWidth="1"/>
    <col min="2" max="2" width="10.625" style="719" customWidth="1"/>
    <col min="3" max="3" width="43.25" style="719" customWidth="1"/>
    <col min="4" max="4" width="6.375" style="718" customWidth="1"/>
    <col min="5" max="5" width="9.625" style="823" customWidth="1"/>
    <col min="6" max="6" width="11.25" style="756" customWidth="1"/>
    <col min="7" max="8" width="10.375" style="756" bestFit="1" customWidth="1"/>
    <col min="9" max="9" width="12.25" style="757" customWidth="1"/>
    <col min="10" max="10" width="12.875" style="757" customWidth="1"/>
    <col min="11" max="11" width="12.5" style="757" customWidth="1"/>
    <col min="12" max="12" width="4.75" style="718" customWidth="1"/>
    <col min="13" max="13" width="6.125" style="719" customWidth="1"/>
    <col min="14" max="14" width="14.625" style="719" customWidth="1"/>
    <col min="15" max="15" width="14.75" style="719" bestFit="1" customWidth="1"/>
    <col min="16" max="16384" width="9" style="719"/>
  </cols>
  <sheetData>
    <row r="1" spans="1:15" ht="24" customHeight="1">
      <c r="A1" s="1190" t="s">
        <v>138</v>
      </c>
      <c r="B1" s="1190"/>
      <c r="C1" s="1190"/>
      <c r="D1" s="1190"/>
      <c r="E1" s="1190"/>
      <c r="F1" s="1190"/>
      <c r="G1" s="1190"/>
      <c r="H1" s="1190"/>
      <c r="I1" s="1190"/>
      <c r="J1" s="1190"/>
      <c r="K1" s="1190"/>
    </row>
    <row r="2" spans="1:15" s="721" customFormat="1" ht="17.25">
      <c r="A2" s="1191" t="str">
        <f>XLGT!A2</f>
        <v>c«ng tr×nh: ®­êng quèc lé 24 ®I gß panu</v>
      </c>
      <c r="B2" s="1192"/>
      <c r="C2" s="1192"/>
      <c r="D2" s="1192"/>
      <c r="E2" s="1192"/>
      <c r="F2" s="1192"/>
      <c r="G2" s="1192"/>
      <c r="H2" s="1192"/>
      <c r="I2" s="1192"/>
      <c r="J2" s="1192"/>
      <c r="K2" s="1192"/>
      <c r="L2" s="720"/>
    </row>
    <row r="3" spans="1:15" s="721" customFormat="1" ht="1.5" customHeight="1">
      <c r="A3" s="1193">
        <f>XLGT!A3</f>
        <v>0</v>
      </c>
      <c r="B3" s="1194"/>
      <c r="C3" s="1194"/>
      <c r="D3" s="1194"/>
      <c r="E3" s="1194"/>
      <c r="F3" s="1194"/>
      <c r="G3" s="1194"/>
      <c r="H3" s="1194"/>
      <c r="I3" s="1194"/>
      <c r="J3" s="1194"/>
      <c r="K3" s="1194"/>
      <c r="L3" s="720"/>
      <c r="N3" s="844"/>
    </row>
    <row r="4" spans="1:15" ht="8.25" customHeight="1" thickBot="1">
      <c r="A4" s="722"/>
      <c r="B4" s="723"/>
      <c r="C4" s="1046"/>
      <c r="D4" s="722"/>
      <c r="E4" s="818"/>
      <c r="F4" s="724"/>
      <c r="G4" s="724"/>
      <c r="H4" s="724"/>
      <c r="I4" s="725"/>
      <c r="J4" s="725"/>
      <c r="K4" s="725"/>
    </row>
    <row r="5" spans="1:15" s="298" customFormat="1" ht="17.100000000000001" customHeight="1">
      <c r="A5" s="1195" t="s">
        <v>136</v>
      </c>
      <c r="B5" s="1197" t="s">
        <v>140</v>
      </c>
      <c r="C5" s="1199" t="s">
        <v>141</v>
      </c>
      <c r="D5" s="1197" t="s">
        <v>142</v>
      </c>
      <c r="E5" s="1200" t="s">
        <v>143</v>
      </c>
      <c r="F5" s="1202" t="s">
        <v>139</v>
      </c>
      <c r="G5" s="1203"/>
      <c r="H5" s="1204"/>
      <c r="I5" s="1205" t="s">
        <v>137</v>
      </c>
      <c r="J5" s="1203"/>
      <c r="K5" s="1206"/>
      <c r="L5" s="726">
        <v>1</v>
      </c>
    </row>
    <row r="6" spans="1:15" s="298" customFormat="1" ht="17.100000000000001" customHeight="1">
      <c r="A6" s="1196"/>
      <c r="B6" s="1198"/>
      <c r="C6" s="1198"/>
      <c r="D6" s="1198"/>
      <c r="E6" s="1201"/>
      <c r="F6" s="727" t="s">
        <v>144</v>
      </c>
      <c r="G6" s="727" t="s">
        <v>145</v>
      </c>
      <c r="H6" s="727" t="s">
        <v>146</v>
      </c>
      <c r="I6" s="728" t="s">
        <v>144</v>
      </c>
      <c r="J6" s="728" t="s">
        <v>145</v>
      </c>
      <c r="K6" s="729" t="s">
        <v>147</v>
      </c>
      <c r="L6" s="726">
        <f>L5</f>
        <v>1</v>
      </c>
    </row>
    <row r="7" spans="1:15" s="298" customFormat="1" ht="17.100000000000001" hidden="1" customHeight="1">
      <c r="A7" s="837"/>
      <c r="B7" s="730" t="s">
        <v>0</v>
      </c>
      <c r="C7" s="730" t="s">
        <v>1737</v>
      </c>
      <c r="D7" s="731"/>
      <c r="E7" s="819"/>
      <c r="F7" s="732"/>
      <c r="G7" s="732"/>
      <c r="H7" s="732"/>
      <c r="I7" s="733" t="e">
        <f>SUM(I8:I83)</f>
        <v>#REF!</v>
      </c>
      <c r="J7" s="733" t="e">
        <f>SUM(J8:J83)</f>
        <v>#REF!</v>
      </c>
      <c r="K7" s="734" t="e">
        <f>SUM(K8:K83)</f>
        <v>#REF!</v>
      </c>
      <c r="L7" s="735" t="e">
        <f>IF(OR(SUM(I7:K7)&lt;&gt;0,B7="*"),$L$5,0)</f>
        <v>#REF!</v>
      </c>
      <c r="O7" s="734" t="e">
        <f>SUM(O8:O201)</f>
        <v>#REF!</v>
      </c>
    </row>
    <row r="8" spans="1:15" s="298" customFormat="1" ht="17.100000000000001" hidden="1" customHeight="1">
      <c r="A8" s="838">
        <f>IF(SUM(F8:H8)&lt;&gt;0,A7+L8,A7)</f>
        <v>0</v>
      </c>
      <c r="B8" s="296" t="s">
        <v>0</v>
      </c>
      <c r="C8" s="737" t="s">
        <v>1722</v>
      </c>
      <c r="D8" s="297" t="s">
        <v>0</v>
      </c>
      <c r="E8" s="788"/>
      <c r="F8" s="738"/>
      <c r="G8" s="738"/>
      <c r="H8" s="738"/>
      <c r="I8" s="739"/>
      <c r="J8" s="739"/>
      <c r="K8" s="740"/>
      <c r="L8" s="735">
        <f t="shared" ref="L8:L72" si="0">IF(OR(SUM(I8:K8)&lt;&gt;0,B8="*"),$L$5,0)</f>
        <v>0</v>
      </c>
      <c r="N8" s="741">
        <f>SUM(F8:H8)*1.278</f>
        <v>0</v>
      </c>
      <c r="O8" s="741">
        <f>N8*E8</f>
        <v>0</v>
      </c>
    </row>
    <row r="9" spans="1:15" s="298" customFormat="1" ht="17.100000000000001" hidden="1" customHeight="1">
      <c r="A9" s="838">
        <f>IF(SUM(F9:H9)&lt;&gt;0,A8+L9,A8)</f>
        <v>0</v>
      </c>
      <c r="B9" s="296"/>
      <c r="C9" s="742" t="s">
        <v>1293</v>
      </c>
      <c r="D9" s="297" t="s">
        <v>0</v>
      </c>
      <c r="E9" s="788"/>
      <c r="F9" s="738"/>
      <c r="G9" s="738"/>
      <c r="H9" s="738"/>
      <c r="I9" s="739"/>
      <c r="J9" s="739"/>
      <c r="K9" s="740"/>
      <c r="L9" s="735">
        <f t="shared" si="0"/>
        <v>0</v>
      </c>
      <c r="N9" s="741">
        <f t="shared" ref="N9:N83" si="1">SUM(F9:H9)*1.278</f>
        <v>0</v>
      </c>
      <c r="O9" s="741">
        <f t="shared" ref="O9:O83" si="2">N9*E9</f>
        <v>0</v>
      </c>
    </row>
    <row r="10" spans="1:15" s="298" customFormat="1" ht="17.100000000000001" hidden="1" customHeight="1">
      <c r="A10" s="736" t="e">
        <f t="shared" ref="A10:A73" si="3">IF(SUM(F10:H10)&lt;&gt;0,A9+L10,A9)</f>
        <v>#REF!</v>
      </c>
      <c r="B10" s="296" t="s">
        <v>1294</v>
      </c>
      <c r="C10" s="296" t="s">
        <v>1295</v>
      </c>
      <c r="D10" s="297" t="s">
        <v>1590</v>
      </c>
      <c r="E10" s="788"/>
      <c r="F10" s="738" t="e">
        <f>#REF!</f>
        <v>#REF!</v>
      </c>
      <c r="G10" s="738" t="e">
        <f>#REF!</f>
        <v>#REF!</v>
      </c>
      <c r="H10" s="738" t="e">
        <f>#REF!</f>
        <v>#REF!</v>
      </c>
      <c r="I10" s="739" t="e">
        <f>E10*F10</f>
        <v>#REF!</v>
      </c>
      <c r="J10" s="739" t="e">
        <f>E10*G10</f>
        <v>#REF!</v>
      </c>
      <c r="K10" s="740" t="e">
        <f>E10*H10</f>
        <v>#REF!</v>
      </c>
      <c r="L10" s="735" t="e">
        <f t="shared" si="0"/>
        <v>#REF!</v>
      </c>
      <c r="N10" s="741" t="e">
        <f t="shared" si="1"/>
        <v>#REF!</v>
      </c>
      <c r="O10" s="741" t="e">
        <f t="shared" si="2"/>
        <v>#REF!</v>
      </c>
    </row>
    <row r="11" spans="1:15" s="298" customFormat="1" ht="17.100000000000001" hidden="1" customHeight="1">
      <c r="A11" s="736" t="e">
        <f t="shared" si="3"/>
        <v>#REF!</v>
      </c>
      <c r="B11" s="296" t="s">
        <v>1296</v>
      </c>
      <c r="C11" s="296" t="s">
        <v>1297</v>
      </c>
      <c r="D11" s="297" t="s">
        <v>2</v>
      </c>
      <c r="E11" s="788"/>
      <c r="F11" s="738"/>
      <c r="G11" s="738"/>
      <c r="H11" s="738" t="e">
        <f>#REF!</f>
        <v>#REF!</v>
      </c>
      <c r="I11" s="739">
        <f>E11*F11</f>
        <v>0</v>
      </c>
      <c r="J11" s="739">
        <f>E11*G11</f>
        <v>0</v>
      </c>
      <c r="K11" s="740" t="e">
        <f>E11*H11</f>
        <v>#REF!</v>
      </c>
      <c r="L11" s="735" t="e">
        <f t="shared" si="0"/>
        <v>#REF!</v>
      </c>
      <c r="N11" s="741" t="e">
        <f t="shared" si="1"/>
        <v>#REF!</v>
      </c>
      <c r="O11" s="741" t="e">
        <f t="shared" si="2"/>
        <v>#REF!</v>
      </c>
    </row>
    <row r="12" spans="1:15" s="298" customFormat="1" ht="17.100000000000001" hidden="1" customHeight="1">
      <c r="A12" s="736" t="e">
        <f t="shared" si="3"/>
        <v>#REF!</v>
      </c>
      <c r="B12" s="296" t="s">
        <v>1298</v>
      </c>
      <c r="C12" s="296" t="s">
        <v>1299</v>
      </c>
      <c r="D12" s="297" t="s">
        <v>2</v>
      </c>
      <c r="E12" s="788"/>
      <c r="F12" s="738"/>
      <c r="G12" s="738"/>
      <c r="H12" s="738" t="e">
        <f>#REF!</f>
        <v>#REF!</v>
      </c>
      <c r="I12" s="739">
        <f>E12*F12</f>
        <v>0</v>
      </c>
      <c r="J12" s="739">
        <f>E12*G12</f>
        <v>0</v>
      </c>
      <c r="K12" s="740" t="e">
        <f>E12*H12</f>
        <v>#REF!</v>
      </c>
      <c r="L12" s="735" t="e">
        <f t="shared" si="0"/>
        <v>#REF!</v>
      </c>
      <c r="N12" s="741" t="e">
        <f t="shared" si="1"/>
        <v>#REF!</v>
      </c>
      <c r="O12" s="741" t="e">
        <f t="shared" si="2"/>
        <v>#REF!</v>
      </c>
    </row>
    <row r="13" spans="1:15" s="298" customFormat="1" ht="17.100000000000001" hidden="1" customHeight="1">
      <c r="A13" s="736" t="e">
        <f t="shared" si="3"/>
        <v>#REF!</v>
      </c>
      <c r="B13" s="296" t="s">
        <v>1300</v>
      </c>
      <c r="C13" s="296" t="s">
        <v>1301</v>
      </c>
      <c r="D13" s="297" t="s">
        <v>2</v>
      </c>
      <c r="E13" s="788"/>
      <c r="F13" s="738"/>
      <c r="G13" s="738"/>
      <c r="H13" s="738" t="e">
        <f>#REF!</f>
        <v>#REF!</v>
      </c>
      <c r="I13" s="739">
        <f>E13*F13</f>
        <v>0</v>
      </c>
      <c r="J13" s="739">
        <f>E13*G13</f>
        <v>0</v>
      </c>
      <c r="K13" s="740" t="e">
        <f>E13*H13</f>
        <v>#REF!</v>
      </c>
      <c r="L13" s="735" t="e">
        <f t="shared" si="0"/>
        <v>#REF!</v>
      </c>
      <c r="N13" s="741" t="e">
        <f t="shared" si="1"/>
        <v>#REF!</v>
      </c>
      <c r="O13" s="741" t="e">
        <f t="shared" si="2"/>
        <v>#REF!</v>
      </c>
    </row>
    <row r="14" spans="1:15" s="298" customFormat="1" ht="17.100000000000001" hidden="1" customHeight="1">
      <c r="A14" s="736" t="e">
        <f t="shared" si="3"/>
        <v>#REF!</v>
      </c>
      <c r="B14" s="296" t="s">
        <v>1302</v>
      </c>
      <c r="C14" s="296" t="s">
        <v>1303</v>
      </c>
      <c r="D14" s="297" t="s">
        <v>9</v>
      </c>
      <c r="E14" s="788"/>
      <c r="F14" s="738" t="e">
        <f>#REF!</f>
        <v>#REF!</v>
      </c>
      <c r="G14" s="738" t="e">
        <f>#REF!</f>
        <v>#REF!</v>
      </c>
      <c r="H14" s="738" t="e">
        <f>#REF!</f>
        <v>#REF!</v>
      </c>
      <c r="I14" s="739" t="e">
        <f t="shared" ref="I14:I22" si="4">E14*F14</f>
        <v>#REF!</v>
      </c>
      <c r="J14" s="739" t="e">
        <f t="shared" ref="J14:J22" si="5">E14*G14</f>
        <v>#REF!</v>
      </c>
      <c r="K14" s="740" t="e">
        <f t="shared" ref="K14:K22" si="6">E14*H14</f>
        <v>#REF!</v>
      </c>
      <c r="L14" s="735" t="e">
        <f t="shared" si="0"/>
        <v>#REF!</v>
      </c>
      <c r="N14" s="741" t="e">
        <f t="shared" si="1"/>
        <v>#REF!</v>
      </c>
      <c r="O14" s="741" t="e">
        <f t="shared" si="2"/>
        <v>#REF!</v>
      </c>
    </row>
    <row r="15" spans="1:15" s="298" customFormat="1" ht="17.100000000000001" hidden="1" customHeight="1">
      <c r="A15" s="736" t="e">
        <f t="shared" si="3"/>
        <v>#REF!</v>
      </c>
      <c r="B15" s="296" t="s">
        <v>1304</v>
      </c>
      <c r="C15" s="296" t="s">
        <v>1305</v>
      </c>
      <c r="D15" s="297" t="s">
        <v>671</v>
      </c>
      <c r="E15" s="788"/>
      <c r="F15" s="738" t="e">
        <f>#REF!</f>
        <v>#REF!</v>
      </c>
      <c r="G15" s="738" t="e">
        <f>#REF!</f>
        <v>#REF!</v>
      </c>
      <c r="H15" s="738" t="e">
        <f>#REF!</f>
        <v>#REF!</v>
      </c>
      <c r="I15" s="739" t="e">
        <f t="shared" si="4"/>
        <v>#REF!</v>
      </c>
      <c r="J15" s="739" t="e">
        <f t="shared" si="5"/>
        <v>#REF!</v>
      </c>
      <c r="K15" s="740" t="e">
        <f t="shared" si="6"/>
        <v>#REF!</v>
      </c>
      <c r="L15" s="735" t="e">
        <f t="shared" si="0"/>
        <v>#REF!</v>
      </c>
      <c r="N15" s="741" t="e">
        <f t="shared" si="1"/>
        <v>#REF!</v>
      </c>
      <c r="O15" s="741" t="e">
        <f t="shared" si="2"/>
        <v>#REF!</v>
      </c>
    </row>
    <row r="16" spans="1:15" s="298" customFormat="1" ht="17.100000000000001" hidden="1" customHeight="1">
      <c r="A16" s="736" t="e">
        <f t="shared" si="3"/>
        <v>#REF!</v>
      </c>
      <c r="B16" s="296" t="s">
        <v>1306</v>
      </c>
      <c r="C16" s="296" t="s">
        <v>1307</v>
      </c>
      <c r="D16" s="297" t="s">
        <v>671</v>
      </c>
      <c r="E16" s="788"/>
      <c r="F16" s="738" t="e">
        <f>#REF!</f>
        <v>#REF!</v>
      </c>
      <c r="G16" s="738" t="e">
        <f>#REF!</f>
        <v>#REF!</v>
      </c>
      <c r="H16" s="738" t="e">
        <f>#REF!</f>
        <v>#REF!</v>
      </c>
      <c r="I16" s="739" t="e">
        <f t="shared" si="4"/>
        <v>#REF!</v>
      </c>
      <c r="J16" s="739" t="e">
        <f t="shared" si="5"/>
        <v>#REF!</v>
      </c>
      <c r="K16" s="740" t="e">
        <f t="shared" si="6"/>
        <v>#REF!</v>
      </c>
      <c r="L16" s="735" t="e">
        <f t="shared" si="0"/>
        <v>#REF!</v>
      </c>
      <c r="N16" s="741" t="e">
        <f t="shared" si="1"/>
        <v>#REF!</v>
      </c>
      <c r="O16" s="741" t="e">
        <f t="shared" si="2"/>
        <v>#REF!</v>
      </c>
    </row>
    <row r="17" spans="1:15" s="298" customFormat="1" ht="17.100000000000001" hidden="1" customHeight="1">
      <c r="A17" s="736" t="e">
        <f t="shared" si="3"/>
        <v>#REF!</v>
      </c>
      <c r="B17" s="296" t="s">
        <v>1308</v>
      </c>
      <c r="C17" s="296" t="s">
        <v>1309</v>
      </c>
      <c r="D17" s="297" t="s">
        <v>59</v>
      </c>
      <c r="E17" s="788"/>
      <c r="F17" s="738" t="e">
        <f>#REF!</f>
        <v>#REF!</v>
      </c>
      <c r="G17" s="738" t="e">
        <f>#REF!</f>
        <v>#REF!</v>
      </c>
      <c r="H17" s="738" t="e">
        <f>#REF!</f>
        <v>#REF!</v>
      </c>
      <c r="I17" s="739" t="e">
        <f t="shared" si="4"/>
        <v>#REF!</v>
      </c>
      <c r="J17" s="739" t="e">
        <f t="shared" si="5"/>
        <v>#REF!</v>
      </c>
      <c r="K17" s="740" t="e">
        <f t="shared" si="6"/>
        <v>#REF!</v>
      </c>
      <c r="L17" s="735" t="e">
        <f t="shared" si="0"/>
        <v>#REF!</v>
      </c>
      <c r="N17" s="741" t="e">
        <f t="shared" si="1"/>
        <v>#REF!</v>
      </c>
      <c r="O17" s="741" t="e">
        <f t="shared" si="2"/>
        <v>#REF!</v>
      </c>
    </row>
    <row r="18" spans="1:15" s="298" customFormat="1" ht="17.100000000000001" hidden="1" customHeight="1">
      <c r="A18" s="736" t="e">
        <f t="shared" si="3"/>
        <v>#REF!</v>
      </c>
      <c r="B18" s="296" t="s">
        <v>1310</v>
      </c>
      <c r="C18" s="296" t="s">
        <v>1311</v>
      </c>
      <c r="D18" s="297" t="s">
        <v>310</v>
      </c>
      <c r="E18" s="788"/>
      <c r="F18" s="738" t="e">
        <f>#REF!</f>
        <v>#REF!</v>
      </c>
      <c r="G18" s="738" t="e">
        <f>#REF!</f>
        <v>#REF!</v>
      </c>
      <c r="H18" s="738" t="e">
        <f>#REF!</f>
        <v>#REF!</v>
      </c>
      <c r="I18" s="739" t="e">
        <f t="shared" si="4"/>
        <v>#REF!</v>
      </c>
      <c r="J18" s="739" t="e">
        <f t="shared" si="5"/>
        <v>#REF!</v>
      </c>
      <c r="K18" s="740" t="e">
        <f t="shared" si="6"/>
        <v>#REF!</v>
      </c>
      <c r="L18" s="735" t="e">
        <f t="shared" si="0"/>
        <v>#REF!</v>
      </c>
      <c r="N18" s="741" t="e">
        <f t="shared" si="1"/>
        <v>#REF!</v>
      </c>
      <c r="O18" s="741" t="e">
        <f t="shared" si="2"/>
        <v>#REF!</v>
      </c>
    </row>
    <row r="19" spans="1:15" s="298" customFormat="1" ht="17.100000000000001" hidden="1" customHeight="1">
      <c r="A19" s="736" t="e">
        <f t="shared" si="3"/>
        <v>#REF!</v>
      </c>
      <c r="B19" s="296" t="s">
        <v>1312</v>
      </c>
      <c r="C19" s="296" t="s">
        <v>1313</v>
      </c>
      <c r="D19" s="297" t="s">
        <v>1314</v>
      </c>
      <c r="E19" s="788"/>
      <c r="F19" s="738" t="e">
        <f>#REF!</f>
        <v>#REF!</v>
      </c>
      <c r="G19" s="738" t="e">
        <f>#REF!</f>
        <v>#REF!</v>
      </c>
      <c r="H19" s="738"/>
      <c r="I19" s="739" t="e">
        <f t="shared" si="4"/>
        <v>#REF!</v>
      </c>
      <c r="J19" s="739" t="e">
        <f t="shared" si="5"/>
        <v>#REF!</v>
      </c>
      <c r="K19" s="740">
        <f t="shared" si="6"/>
        <v>0</v>
      </c>
      <c r="L19" s="735" t="e">
        <f t="shared" si="0"/>
        <v>#REF!</v>
      </c>
      <c r="N19" s="741" t="e">
        <f t="shared" si="1"/>
        <v>#REF!</v>
      </c>
      <c r="O19" s="741" t="e">
        <f t="shared" si="2"/>
        <v>#REF!</v>
      </c>
    </row>
    <row r="20" spans="1:15" s="298" customFormat="1" ht="17.100000000000001" hidden="1" customHeight="1">
      <c r="A20" s="736" t="e">
        <f t="shared" si="3"/>
        <v>#REF!</v>
      </c>
      <c r="B20" s="296" t="s">
        <v>1315</v>
      </c>
      <c r="C20" s="296" t="s">
        <v>1316</v>
      </c>
      <c r="D20" s="297" t="s">
        <v>2</v>
      </c>
      <c r="E20" s="788"/>
      <c r="F20" s="738" t="e">
        <f>#REF!</f>
        <v>#REF!</v>
      </c>
      <c r="G20" s="738" t="e">
        <f>#REF!</f>
        <v>#REF!</v>
      </c>
      <c r="H20" s="738" t="e">
        <f>#REF!</f>
        <v>#REF!</v>
      </c>
      <c r="I20" s="739" t="e">
        <f t="shared" si="4"/>
        <v>#REF!</v>
      </c>
      <c r="J20" s="739" t="e">
        <f t="shared" si="5"/>
        <v>#REF!</v>
      </c>
      <c r="K20" s="740" t="e">
        <f t="shared" si="6"/>
        <v>#REF!</v>
      </c>
      <c r="L20" s="735" t="e">
        <f t="shared" si="0"/>
        <v>#REF!</v>
      </c>
      <c r="N20" s="741" t="e">
        <f t="shared" si="1"/>
        <v>#REF!</v>
      </c>
      <c r="O20" s="741" t="e">
        <f t="shared" si="2"/>
        <v>#REF!</v>
      </c>
    </row>
    <row r="21" spans="1:15" s="298" customFormat="1" ht="17.100000000000001" hidden="1" customHeight="1">
      <c r="A21" s="736" t="e">
        <f t="shared" si="3"/>
        <v>#REF!</v>
      </c>
      <c r="B21" s="296" t="s">
        <v>814</v>
      </c>
      <c r="C21" s="296" t="s">
        <v>1317</v>
      </c>
      <c r="D21" s="297" t="s">
        <v>9</v>
      </c>
      <c r="E21" s="788"/>
      <c r="F21" s="738" t="e">
        <f>#REF!</f>
        <v>#REF!</v>
      </c>
      <c r="G21" s="738" t="e">
        <f>#REF!</f>
        <v>#REF!</v>
      </c>
      <c r="H21" s="738"/>
      <c r="I21" s="739" t="e">
        <f t="shared" si="4"/>
        <v>#REF!</v>
      </c>
      <c r="J21" s="739" t="e">
        <f t="shared" si="5"/>
        <v>#REF!</v>
      </c>
      <c r="K21" s="740">
        <f t="shared" si="6"/>
        <v>0</v>
      </c>
      <c r="L21" s="735" t="e">
        <f t="shared" si="0"/>
        <v>#REF!</v>
      </c>
      <c r="N21" s="741" t="e">
        <f t="shared" si="1"/>
        <v>#REF!</v>
      </c>
      <c r="O21" s="741" t="e">
        <f t="shared" si="2"/>
        <v>#REF!</v>
      </c>
    </row>
    <row r="22" spans="1:15" s="298" customFormat="1" ht="17.100000000000001" hidden="1" customHeight="1">
      <c r="A22" s="736" t="e">
        <f t="shared" si="3"/>
        <v>#REF!</v>
      </c>
      <c r="B22" s="296" t="s">
        <v>1318</v>
      </c>
      <c r="C22" s="296" t="s">
        <v>1319</v>
      </c>
      <c r="D22" s="297" t="s">
        <v>82</v>
      </c>
      <c r="E22" s="788"/>
      <c r="F22" s="738" t="e">
        <f>#REF!</f>
        <v>#REF!</v>
      </c>
      <c r="G22" s="738" t="e">
        <f>#REF!</f>
        <v>#REF!</v>
      </c>
      <c r="H22" s="738"/>
      <c r="I22" s="739" t="e">
        <f t="shared" si="4"/>
        <v>#REF!</v>
      </c>
      <c r="J22" s="739" t="e">
        <f t="shared" si="5"/>
        <v>#REF!</v>
      </c>
      <c r="K22" s="740">
        <f t="shared" si="6"/>
        <v>0</v>
      </c>
      <c r="L22" s="735" t="e">
        <f t="shared" si="0"/>
        <v>#REF!</v>
      </c>
      <c r="N22" s="741" t="e">
        <f t="shared" si="1"/>
        <v>#REF!</v>
      </c>
      <c r="O22" s="741" t="e">
        <f t="shared" si="2"/>
        <v>#REF!</v>
      </c>
    </row>
    <row r="23" spans="1:15" s="298" customFormat="1" ht="17.100000000000001" hidden="1" customHeight="1">
      <c r="A23" s="736" t="e">
        <f t="shared" si="3"/>
        <v>#REF!</v>
      </c>
      <c r="B23" s="296" t="s">
        <v>0</v>
      </c>
      <c r="C23" s="742" t="s">
        <v>1320</v>
      </c>
      <c r="D23" s="297" t="s">
        <v>0</v>
      </c>
      <c r="E23" s="788"/>
      <c r="F23" s="738"/>
      <c r="G23" s="738"/>
      <c r="H23" s="738"/>
      <c r="I23" s="739"/>
      <c r="J23" s="739"/>
      <c r="K23" s="740"/>
      <c r="L23" s="735">
        <f t="shared" si="0"/>
        <v>0</v>
      </c>
      <c r="N23" s="741">
        <f t="shared" si="1"/>
        <v>0</v>
      </c>
      <c r="O23" s="741">
        <f t="shared" si="2"/>
        <v>0</v>
      </c>
    </row>
    <row r="24" spans="1:15" s="298" customFormat="1" ht="17.100000000000001" hidden="1" customHeight="1">
      <c r="A24" s="736" t="e">
        <f t="shared" si="3"/>
        <v>#REF!</v>
      </c>
      <c r="B24" s="296" t="s">
        <v>1321</v>
      </c>
      <c r="C24" s="296" t="s">
        <v>1322</v>
      </c>
      <c r="D24" s="297" t="s">
        <v>2</v>
      </c>
      <c r="E24" s="788"/>
      <c r="F24" s="738" t="e">
        <f>#REF!</f>
        <v>#REF!</v>
      </c>
      <c r="G24" s="738" t="e">
        <f>#REF!</f>
        <v>#REF!</v>
      </c>
      <c r="H24" s="738" t="e">
        <f>#REF!</f>
        <v>#REF!</v>
      </c>
      <c r="I24" s="739" t="e">
        <f t="shared" ref="I24:I37" si="7">E24*F24</f>
        <v>#REF!</v>
      </c>
      <c r="J24" s="739" t="e">
        <f t="shared" ref="J24:J37" si="8">E24*G24</f>
        <v>#REF!</v>
      </c>
      <c r="K24" s="740" t="e">
        <f t="shared" ref="K24:K37" si="9">E24*H24</f>
        <v>#REF!</v>
      </c>
      <c r="L24" s="735" t="e">
        <f t="shared" si="0"/>
        <v>#REF!</v>
      </c>
      <c r="N24" s="741" t="e">
        <f t="shared" si="1"/>
        <v>#REF!</v>
      </c>
      <c r="O24" s="741" t="e">
        <f t="shared" si="2"/>
        <v>#REF!</v>
      </c>
    </row>
    <row r="25" spans="1:15" s="298" customFormat="1" ht="17.100000000000001" hidden="1" customHeight="1">
      <c r="A25" s="736" t="e">
        <f t="shared" si="3"/>
        <v>#REF!</v>
      </c>
      <c r="B25" s="296" t="s">
        <v>1323</v>
      </c>
      <c r="C25" s="296" t="s">
        <v>1324</v>
      </c>
      <c r="D25" s="297" t="s">
        <v>9</v>
      </c>
      <c r="E25" s="788"/>
      <c r="F25" s="738" t="e">
        <f>#REF!</f>
        <v>#REF!</v>
      </c>
      <c r="G25" s="738" t="e">
        <f>#REF!</f>
        <v>#REF!</v>
      </c>
      <c r="H25" s="738" t="e">
        <f>#REF!</f>
        <v>#REF!</v>
      </c>
      <c r="I25" s="739" t="e">
        <f t="shared" si="7"/>
        <v>#REF!</v>
      </c>
      <c r="J25" s="739" t="e">
        <f t="shared" si="8"/>
        <v>#REF!</v>
      </c>
      <c r="K25" s="740" t="e">
        <f t="shared" si="9"/>
        <v>#REF!</v>
      </c>
      <c r="L25" s="735" t="e">
        <f t="shared" si="0"/>
        <v>#REF!</v>
      </c>
      <c r="N25" s="741" t="e">
        <f t="shared" si="1"/>
        <v>#REF!</v>
      </c>
      <c r="O25" s="741" t="e">
        <f t="shared" si="2"/>
        <v>#REF!</v>
      </c>
    </row>
    <row r="26" spans="1:15" s="298" customFormat="1" ht="17.100000000000001" hidden="1" customHeight="1">
      <c r="A26" s="736" t="e">
        <f t="shared" si="3"/>
        <v>#REF!</v>
      </c>
      <c r="B26" s="296" t="s">
        <v>1325</v>
      </c>
      <c r="C26" s="296" t="s">
        <v>1326</v>
      </c>
      <c r="D26" s="297" t="s">
        <v>59</v>
      </c>
      <c r="E26" s="788"/>
      <c r="F26" s="738" t="e">
        <f>#REF!</f>
        <v>#REF!</v>
      </c>
      <c r="G26" s="738" t="e">
        <f>#REF!</f>
        <v>#REF!</v>
      </c>
      <c r="H26" s="738" t="e">
        <f>#REF!</f>
        <v>#REF!</v>
      </c>
      <c r="I26" s="739" t="e">
        <f t="shared" si="7"/>
        <v>#REF!</v>
      </c>
      <c r="J26" s="739" t="e">
        <f t="shared" si="8"/>
        <v>#REF!</v>
      </c>
      <c r="K26" s="740" t="e">
        <f t="shared" si="9"/>
        <v>#REF!</v>
      </c>
      <c r="L26" s="735" t="e">
        <f t="shared" si="0"/>
        <v>#REF!</v>
      </c>
      <c r="N26" s="741" t="e">
        <f t="shared" si="1"/>
        <v>#REF!</v>
      </c>
      <c r="O26" s="741" t="e">
        <f t="shared" si="2"/>
        <v>#REF!</v>
      </c>
    </row>
    <row r="27" spans="1:15" s="298" customFormat="1" ht="17.100000000000001" hidden="1" customHeight="1">
      <c r="A27" s="736" t="e">
        <f t="shared" si="3"/>
        <v>#REF!</v>
      </c>
      <c r="B27" s="296" t="s">
        <v>1327</v>
      </c>
      <c r="C27" s="296" t="s">
        <v>1328</v>
      </c>
      <c r="D27" s="297" t="s">
        <v>2</v>
      </c>
      <c r="E27" s="788"/>
      <c r="F27" s="738" t="e">
        <f>#REF!</f>
        <v>#REF!</v>
      </c>
      <c r="G27" s="738" t="e">
        <f>#REF!</f>
        <v>#REF!</v>
      </c>
      <c r="H27" s="738" t="e">
        <f>#REF!</f>
        <v>#REF!</v>
      </c>
      <c r="I27" s="739" t="e">
        <f t="shared" si="7"/>
        <v>#REF!</v>
      </c>
      <c r="J27" s="739" t="e">
        <f t="shared" si="8"/>
        <v>#REF!</v>
      </c>
      <c r="K27" s="740" t="e">
        <f t="shared" si="9"/>
        <v>#REF!</v>
      </c>
      <c r="L27" s="735" t="e">
        <f t="shared" si="0"/>
        <v>#REF!</v>
      </c>
      <c r="N27" s="741" t="e">
        <f t="shared" si="1"/>
        <v>#REF!</v>
      </c>
      <c r="O27" s="741" t="e">
        <f t="shared" si="2"/>
        <v>#REF!</v>
      </c>
    </row>
    <row r="28" spans="1:15" s="298" customFormat="1" ht="17.100000000000001" hidden="1" customHeight="1">
      <c r="A28" s="736" t="e">
        <f t="shared" si="3"/>
        <v>#REF!</v>
      </c>
      <c r="B28" s="296" t="s">
        <v>1329</v>
      </c>
      <c r="C28" s="296" t="s">
        <v>1330</v>
      </c>
      <c r="D28" s="297" t="s">
        <v>9</v>
      </c>
      <c r="E28" s="788"/>
      <c r="F28" s="738" t="e">
        <f>#REF!</f>
        <v>#REF!</v>
      </c>
      <c r="G28" s="738" t="e">
        <f>#REF!</f>
        <v>#REF!</v>
      </c>
      <c r="H28" s="738" t="e">
        <f>#REF!</f>
        <v>#REF!</v>
      </c>
      <c r="I28" s="739" t="e">
        <f t="shared" si="7"/>
        <v>#REF!</v>
      </c>
      <c r="J28" s="739" t="e">
        <f t="shared" si="8"/>
        <v>#REF!</v>
      </c>
      <c r="K28" s="740" t="e">
        <f t="shared" si="9"/>
        <v>#REF!</v>
      </c>
      <c r="L28" s="735" t="e">
        <f t="shared" si="0"/>
        <v>#REF!</v>
      </c>
      <c r="N28" s="741" t="e">
        <f t="shared" si="1"/>
        <v>#REF!</v>
      </c>
      <c r="O28" s="741" t="e">
        <f t="shared" si="2"/>
        <v>#REF!</v>
      </c>
    </row>
    <row r="29" spans="1:15" s="298" customFormat="1" ht="17.100000000000001" hidden="1" customHeight="1">
      <c r="A29" s="736" t="e">
        <f t="shared" si="3"/>
        <v>#REF!</v>
      </c>
      <c r="B29" s="296" t="s">
        <v>1331</v>
      </c>
      <c r="C29" s="296" t="s">
        <v>1332</v>
      </c>
      <c r="D29" s="297" t="s">
        <v>59</v>
      </c>
      <c r="E29" s="788"/>
      <c r="F29" s="738" t="e">
        <f>#REF!</f>
        <v>#REF!</v>
      </c>
      <c r="G29" s="738" t="e">
        <f>#REF!</f>
        <v>#REF!</v>
      </c>
      <c r="H29" s="738" t="e">
        <f>#REF!</f>
        <v>#REF!</v>
      </c>
      <c r="I29" s="739" t="e">
        <f t="shared" si="7"/>
        <v>#REF!</v>
      </c>
      <c r="J29" s="739" t="e">
        <f t="shared" si="8"/>
        <v>#REF!</v>
      </c>
      <c r="K29" s="740" t="e">
        <f t="shared" si="9"/>
        <v>#REF!</v>
      </c>
      <c r="L29" s="735" t="e">
        <f t="shared" si="0"/>
        <v>#REF!</v>
      </c>
      <c r="N29" s="741" t="e">
        <f t="shared" si="1"/>
        <v>#REF!</v>
      </c>
      <c r="O29" s="741" t="e">
        <f t="shared" si="2"/>
        <v>#REF!</v>
      </c>
    </row>
    <row r="30" spans="1:15" s="298" customFormat="1" ht="17.100000000000001" hidden="1" customHeight="1">
      <c r="A30" s="736" t="e">
        <f t="shared" si="3"/>
        <v>#REF!</v>
      </c>
      <c r="B30" s="296" t="s">
        <v>1333</v>
      </c>
      <c r="C30" s="296" t="s">
        <v>1334</v>
      </c>
      <c r="D30" s="297" t="s">
        <v>59</v>
      </c>
      <c r="E30" s="788"/>
      <c r="F30" s="738" t="e">
        <f>#REF!</f>
        <v>#REF!</v>
      </c>
      <c r="G30" s="738" t="e">
        <f>#REF!</f>
        <v>#REF!</v>
      </c>
      <c r="H30" s="738" t="e">
        <f>#REF!</f>
        <v>#REF!</v>
      </c>
      <c r="I30" s="739" t="e">
        <f t="shared" si="7"/>
        <v>#REF!</v>
      </c>
      <c r="J30" s="739" t="e">
        <f t="shared" si="8"/>
        <v>#REF!</v>
      </c>
      <c r="K30" s="740" t="e">
        <f t="shared" si="9"/>
        <v>#REF!</v>
      </c>
      <c r="L30" s="735" t="e">
        <f t="shared" si="0"/>
        <v>#REF!</v>
      </c>
      <c r="N30" s="741" t="e">
        <f t="shared" si="1"/>
        <v>#REF!</v>
      </c>
      <c r="O30" s="741" t="e">
        <f t="shared" si="2"/>
        <v>#REF!</v>
      </c>
    </row>
    <row r="31" spans="1:15" s="298" customFormat="1" ht="17.100000000000001" hidden="1" customHeight="1">
      <c r="A31" s="736" t="e">
        <f t="shared" si="3"/>
        <v>#REF!</v>
      </c>
      <c r="B31" s="296" t="s">
        <v>1335</v>
      </c>
      <c r="C31" s="296" t="s">
        <v>1336</v>
      </c>
      <c r="D31" s="297" t="s">
        <v>9</v>
      </c>
      <c r="E31" s="788"/>
      <c r="F31" s="738" t="e">
        <f>#REF!</f>
        <v>#REF!</v>
      </c>
      <c r="G31" s="738" t="e">
        <f>#REF!</f>
        <v>#REF!</v>
      </c>
      <c r="H31" s="738"/>
      <c r="I31" s="739" t="e">
        <f t="shared" si="7"/>
        <v>#REF!</v>
      </c>
      <c r="J31" s="739" t="e">
        <f t="shared" si="8"/>
        <v>#REF!</v>
      </c>
      <c r="K31" s="740">
        <f t="shared" si="9"/>
        <v>0</v>
      </c>
      <c r="L31" s="735" t="e">
        <f t="shared" si="0"/>
        <v>#REF!</v>
      </c>
      <c r="N31" s="741" t="e">
        <f t="shared" si="1"/>
        <v>#REF!</v>
      </c>
      <c r="O31" s="741" t="e">
        <f t="shared" si="2"/>
        <v>#REF!</v>
      </c>
    </row>
    <row r="32" spans="1:15" s="298" customFormat="1" ht="17.100000000000001" hidden="1" customHeight="1">
      <c r="A32" s="736" t="e">
        <f t="shared" si="3"/>
        <v>#REF!</v>
      </c>
      <c r="B32" s="296" t="s">
        <v>595</v>
      </c>
      <c r="C32" s="296" t="s">
        <v>1337</v>
      </c>
      <c r="D32" s="297" t="s">
        <v>667</v>
      </c>
      <c r="E32" s="788"/>
      <c r="F32" s="738" t="e">
        <f>#REF!</f>
        <v>#REF!</v>
      </c>
      <c r="G32" s="738" t="e">
        <f>#REF!</f>
        <v>#REF!</v>
      </c>
      <c r="H32" s="738" t="e">
        <f>#REF!</f>
        <v>#REF!</v>
      </c>
      <c r="I32" s="739" t="e">
        <f t="shared" si="7"/>
        <v>#REF!</v>
      </c>
      <c r="J32" s="739" t="e">
        <f t="shared" si="8"/>
        <v>#REF!</v>
      </c>
      <c r="K32" s="740" t="e">
        <f t="shared" si="9"/>
        <v>#REF!</v>
      </c>
      <c r="L32" s="735" t="e">
        <f t="shared" si="0"/>
        <v>#REF!</v>
      </c>
      <c r="N32" s="741" t="e">
        <f t="shared" si="1"/>
        <v>#REF!</v>
      </c>
      <c r="O32" s="741" t="e">
        <f t="shared" si="2"/>
        <v>#REF!</v>
      </c>
    </row>
    <row r="33" spans="1:15" s="298" customFormat="1" ht="17.100000000000001" hidden="1" customHeight="1">
      <c r="A33" s="736" t="e">
        <f t="shared" si="3"/>
        <v>#REF!</v>
      </c>
      <c r="B33" s="296" t="s">
        <v>596</v>
      </c>
      <c r="C33" s="296" t="s">
        <v>668</v>
      </c>
      <c r="D33" s="297" t="s">
        <v>9</v>
      </c>
      <c r="E33" s="788"/>
      <c r="F33" s="738" t="e">
        <f>#REF!</f>
        <v>#REF!</v>
      </c>
      <c r="G33" s="738" t="e">
        <f>#REF!</f>
        <v>#REF!</v>
      </c>
      <c r="H33" s="738" t="e">
        <f>#REF!</f>
        <v>#REF!</v>
      </c>
      <c r="I33" s="739" t="e">
        <f t="shared" si="7"/>
        <v>#REF!</v>
      </c>
      <c r="J33" s="739" t="e">
        <f t="shared" si="8"/>
        <v>#REF!</v>
      </c>
      <c r="K33" s="740" t="e">
        <f t="shared" si="9"/>
        <v>#REF!</v>
      </c>
      <c r="L33" s="735" t="e">
        <f t="shared" si="0"/>
        <v>#REF!</v>
      </c>
      <c r="N33" s="741" t="e">
        <f t="shared" si="1"/>
        <v>#REF!</v>
      </c>
      <c r="O33" s="741" t="e">
        <f t="shared" si="2"/>
        <v>#REF!</v>
      </c>
    </row>
    <row r="34" spans="1:15" s="298" customFormat="1" ht="17.100000000000001" hidden="1" customHeight="1">
      <c r="A34" s="736" t="e">
        <f t="shared" si="3"/>
        <v>#REF!</v>
      </c>
      <c r="B34" s="296" t="s">
        <v>597</v>
      </c>
      <c r="C34" s="296" t="s">
        <v>670</v>
      </c>
      <c r="D34" s="297" t="s">
        <v>671</v>
      </c>
      <c r="E34" s="788"/>
      <c r="F34" s="738" t="e">
        <f>#REF!</f>
        <v>#REF!</v>
      </c>
      <c r="G34" s="738" t="e">
        <f>#REF!</f>
        <v>#REF!</v>
      </c>
      <c r="H34" s="738" t="e">
        <f>#REF!</f>
        <v>#REF!</v>
      </c>
      <c r="I34" s="739" t="e">
        <f t="shared" si="7"/>
        <v>#REF!</v>
      </c>
      <c r="J34" s="739" t="e">
        <f t="shared" si="8"/>
        <v>#REF!</v>
      </c>
      <c r="K34" s="740" t="e">
        <f t="shared" si="9"/>
        <v>#REF!</v>
      </c>
      <c r="L34" s="735" t="e">
        <f t="shared" si="0"/>
        <v>#REF!</v>
      </c>
      <c r="N34" s="741" t="e">
        <f t="shared" si="1"/>
        <v>#REF!</v>
      </c>
      <c r="O34" s="741" t="e">
        <f t="shared" si="2"/>
        <v>#REF!</v>
      </c>
    </row>
    <row r="35" spans="1:15" s="298" customFormat="1" ht="17.100000000000001" hidden="1" customHeight="1">
      <c r="A35" s="736" t="e">
        <f t="shared" si="3"/>
        <v>#REF!</v>
      </c>
      <c r="B35" s="296" t="s">
        <v>677</v>
      </c>
      <c r="C35" s="296" t="s">
        <v>678</v>
      </c>
      <c r="D35" s="297" t="s">
        <v>671</v>
      </c>
      <c r="E35" s="788"/>
      <c r="F35" s="738"/>
      <c r="G35" s="738" t="e">
        <f>#REF!</f>
        <v>#REF!</v>
      </c>
      <c r="H35" s="738"/>
      <c r="I35" s="739">
        <f t="shared" si="7"/>
        <v>0</v>
      </c>
      <c r="J35" s="739" t="e">
        <f t="shared" si="8"/>
        <v>#REF!</v>
      </c>
      <c r="K35" s="740">
        <f t="shared" si="9"/>
        <v>0</v>
      </c>
      <c r="L35" s="735" t="e">
        <f t="shared" si="0"/>
        <v>#REF!</v>
      </c>
      <c r="N35" s="741" t="e">
        <f t="shared" si="1"/>
        <v>#REF!</v>
      </c>
      <c r="O35" s="741" t="e">
        <f t="shared" si="2"/>
        <v>#REF!</v>
      </c>
    </row>
    <row r="36" spans="1:15" s="298" customFormat="1" ht="17.100000000000001" hidden="1" customHeight="1">
      <c r="A36" s="736" t="e">
        <f t="shared" si="3"/>
        <v>#REF!</v>
      </c>
      <c r="B36" s="296" t="s">
        <v>679</v>
      </c>
      <c r="C36" s="296" t="s">
        <v>680</v>
      </c>
      <c r="D36" s="297" t="s">
        <v>88</v>
      </c>
      <c r="E36" s="788"/>
      <c r="F36" s="738"/>
      <c r="G36" s="738"/>
      <c r="H36" s="738" t="e">
        <f>#REF!</f>
        <v>#REF!</v>
      </c>
      <c r="I36" s="739">
        <f t="shared" si="7"/>
        <v>0</v>
      </c>
      <c r="J36" s="739">
        <f t="shared" si="8"/>
        <v>0</v>
      </c>
      <c r="K36" s="740" t="e">
        <f t="shared" si="9"/>
        <v>#REF!</v>
      </c>
      <c r="L36" s="735" t="e">
        <f t="shared" si="0"/>
        <v>#REF!</v>
      </c>
      <c r="N36" s="741" t="e">
        <f t="shared" si="1"/>
        <v>#REF!</v>
      </c>
      <c r="O36" s="741" t="e">
        <f t="shared" si="2"/>
        <v>#REF!</v>
      </c>
    </row>
    <row r="37" spans="1:15" s="298" customFormat="1" ht="17.100000000000001" hidden="1" customHeight="1">
      <c r="A37" s="736" t="e">
        <f t="shared" si="3"/>
        <v>#REF!</v>
      </c>
      <c r="B37" s="296" t="s">
        <v>681</v>
      </c>
      <c r="C37" s="296" t="s">
        <v>712</v>
      </c>
      <c r="D37" s="297" t="s">
        <v>683</v>
      </c>
      <c r="E37" s="788"/>
      <c r="F37" s="738"/>
      <c r="G37" s="738" t="e">
        <f>#REF!</f>
        <v>#REF!</v>
      </c>
      <c r="H37" s="738" t="e">
        <f>#REF!</f>
        <v>#REF!</v>
      </c>
      <c r="I37" s="739">
        <f t="shared" si="7"/>
        <v>0</v>
      </c>
      <c r="J37" s="739" t="e">
        <f t="shared" si="8"/>
        <v>#REF!</v>
      </c>
      <c r="K37" s="740" t="e">
        <f t="shared" si="9"/>
        <v>#REF!</v>
      </c>
      <c r="L37" s="735" t="e">
        <f t="shared" si="0"/>
        <v>#REF!</v>
      </c>
      <c r="N37" s="741" t="e">
        <f t="shared" si="1"/>
        <v>#REF!</v>
      </c>
      <c r="O37" s="741" t="e">
        <f t="shared" si="2"/>
        <v>#REF!</v>
      </c>
    </row>
    <row r="38" spans="1:15" s="298" customFormat="1" ht="17.100000000000001" hidden="1" customHeight="1">
      <c r="A38" s="736" t="e">
        <f t="shared" si="3"/>
        <v>#REF!</v>
      </c>
      <c r="B38" s="296"/>
      <c r="C38" s="742" t="s">
        <v>1679</v>
      </c>
      <c r="D38" s="297" t="s">
        <v>577</v>
      </c>
      <c r="E38" s="788"/>
      <c r="F38" s="738"/>
      <c r="G38" s="738"/>
      <c r="H38" s="738"/>
      <c r="I38" s="739"/>
      <c r="J38" s="739"/>
      <c r="K38" s="740"/>
      <c r="L38" s="735">
        <f t="shared" si="0"/>
        <v>0</v>
      </c>
      <c r="N38" s="741">
        <f t="shared" si="1"/>
        <v>0</v>
      </c>
      <c r="O38" s="741">
        <f t="shared" ref="O38:O56" si="10">N38*E38</f>
        <v>0</v>
      </c>
    </row>
    <row r="39" spans="1:15" s="298" customFormat="1" ht="17.100000000000001" hidden="1" customHeight="1">
      <c r="A39" s="736" t="e">
        <f t="shared" si="3"/>
        <v>#REF!</v>
      </c>
      <c r="B39" s="296" t="s">
        <v>1358</v>
      </c>
      <c r="C39" s="296" t="s">
        <v>1359</v>
      </c>
      <c r="D39" s="297" t="s">
        <v>667</v>
      </c>
      <c r="E39" s="788"/>
      <c r="F39" s="738" t="e">
        <f>#REF!</f>
        <v>#REF!</v>
      </c>
      <c r="G39" s="738" t="e">
        <f>#REF!</f>
        <v>#REF!</v>
      </c>
      <c r="H39" s="738" t="e">
        <f>#REF!</f>
        <v>#REF!</v>
      </c>
      <c r="I39" s="739" t="e">
        <f t="shared" ref="I39:I53" si="11">E39*F39</f>
        <v>#REF!</v>
      </c>
      <c r="J39" s="739" t="e">
        <f t="shared" ref="J39:J53" si="12">E39*G39</f>
        <v>#REF!</v>
      </c>
      <c r="K39" s="740" t="e">
        <f t="shared" ref="K39:K53" si="13">E39*H39</f>
        <v>#REF!</v>
      </c>
      <c r="L39" s="735" t="e">
        <f t="shared" si="0"/>
        <v>#REF!</v>
      </c>
      <c r="N39" s="741" t="e">
        <f t="shared" si="1"/>
        <v>#REF!</v>
      </c>
      <c r="O39" s="741" t="e">
        <f t="shared" si="10"/>
        <v>#REF!</v>
      </c>
    </row>
    <row r="40" spans="1:15" s="298" customFormat="1" ht="17.100000000000001" hidden="1" customHeight="1">
      <c r="A40" s="736" t="e">
        <f t="shared" si="3"/>
        <v>#REF!</v>
      </c>
      <c r="B40" s="296" t="s">
        <v>1360</v>
      </c>
      <c r="C40" s="296" t="s">
        <v>1361</v>
      </c>
      <c r="D40" s="297" t="s">
        <v>667</v>
      </c>
      <c r="E40" s="788"/>
      <c r="F40" s="738" t="e">
        <f>#REF!</f>
        <v>#REF!</v>
      </c>
      <c r="G40" s="738" t="e">
        <f>#REF!</f>
        <v>#REF!</v>
      </c>
      <c r="H40" s="738" t="e">
        <f>#REF!</f>
        <v>#REF!</v>
      </c>
      <c r="I40" s="739" t="e">
        <f t="shared" si="11"/>
        <v>#REF!</v>
      </c>
      <c r="J40" s="739" t="e">
        <f t="shared" si="12"/>
        <v>#REF!</v>
      </c>
      <c r="K40" s="740" t="e">
        <f t="shared" si="13"/>
        <v>#REF!</v>
      </c>
      <c r="L40" s="735" t="e">
        <f t="shared" si="0"/>
        <v>#REF!</v>
      </c>
      <c r="N40" s="741" t="e">
        <f t="shared" si="1"/>
        <v>#REF!</v>
      </c>
      <c r="O40" s="741" t="e">
        <f t="shared" si="10"/>
        <v>#REF!</v>
      </c>
    </row>
    <row r="41" spans="1:15" s="298" customFormat="1" ht="17.100000000000001" hidden="1" customHeight="1">
      <c r="A41" s="736" t="e">
        <f t="shared" si="3"/>
        <v>#REF!</v>
      </c>
      <c r="B41" s="296" t="s">
        <v>1296</v>
      </c>
      <c r="C41" s="296" t="s">
        <v>1297</v>
      </c>
      <c r="D41" s="297" t="s">
        <v>2</v>
      </c>
      <c r="E41" s="788"/>
      <c r="F41" s="738"/>
      <c r="G41" s="738"/>
      <c r="H41" s="738" t="e">
        <f>#REF!</f>
        <v>#REF!</v>
      </c>
      <c r="I41" s="739">
        <f t="shared" si="11"/>
        <v>0</v>
      </c>
      <c r="J41" s="739">
        <f t="shared" si="12"/>
        <v>0</v>
      </c>
      <c r="K41" s="740" t="e">
        <f t="shared" si="13"/>
        <v>#REF!</v>
      </c>
      <c r="L41" s="735" t="e">
        <f t="shared" si="0"/>
        <v>#REF!</v>
      </c>
      <c r="N41" s="741" t="e">
        <f t="shared" si="1"/>
        <v>#REF!</v>
      </c>
      <c r="O41" s="741" t="e">
        <f t="shared" si="10"/>
        <v>#REF!</v>
      </c>
    </row>
    <row r="42" spans="1:15" s="298" customFormat="1" ht="17.100000000000001" hidden="1" customHeight="1">
      <c r="A42" s="736" t="e">
        <f t="shared" si="3"/>
        <v>#REF!</v>
      </c>
      <c r="B42" s="296" t="s">
        <v>1362</v>
      </c>
      <c r="C42" s="296" t="s">
        <v>1363</v>
      </c>
      <c r="D42" s="297" t="s">
        <v>9</v>
      </c>
      <c r="E42" s="788"/>
      <c r="F42" s="738" t="e">
        <f>#REF!</f>
        <v>#REF!</v>
      </c>
      <c r="G42" s="738" t="e">
        <f>#REF!</f>
        <v>#REF!</v>
      </c>
      <c r="H42" s="738" t="e">
        <f>#REF!</f>
        <v>#REF!</v>
      </c>
      <c r="I42" s="739" t="e">
        <f t="shared" ref="I42:I43" si="14">E42*F42</f>
        <v>#REF!</v>
      </c>
      <c r="J42" s="739" t="e">
        <f t="shared" ref="J42:J43" si="15">E42*G42</f>
        <v>#REF!</v>
      </c>
      <c r="K42" s="740" t="e">
        <f t="shared" ref="K42:K43" si="16">E42*H42</f>
        <v>#REF!</v>
      </c>
      <c r="L42" s="735" t="e">
        <f t="shared" si="0"/>
        <v>#REF!</v>
      </c>
      <c r="N42" s="741" t="e">
        <f t="shared" si="1"/>
        <v>#REF!</v>
      </c>
      <c r="O42" s="741" t="e">
        <f t="shared" si="10"/>
        <v>#REF!</v>
      </c>
    </row>
    <row r="43" spans="1:15" s="298" customFormat="1" ht="17.100000000000001" hidden="1" customHeight="1">
      <c r="A43" s="736" t="e">
        <f t="shared" si="3"/>
        <v>#REF!</v>
      </c>
      <c r="B43" s="296" t="s">
        <v>1680</v>
      </c>
      <c r="C43" s="296" t="s">
        <v>1681</v>
      </c>
      <c r="D43" s="297" t="s">
        <v>310</v>
      </c>
      <c r="E43" s="788"/>
      <c r="F43" s="738" t="e">
        <f>#REF!</f>
        <v>#REF!</v>
      </c>
      <c r="G43" s="738" t="e">
        <f>#REF!</f>
        <v>#REF!</v>
      </c>
      <c r="H43" s="738"/>
      <c r="I43" s="739" t="e">
        <f t="shared" si="14"/>
        <v>#REF!</v>
      </c>
      <c r="J43" s="739" t="e">
        <f t="shared" si="15"/>
        <v>#REF!</v>
      </c>
      <c r="K43" s="740">
        <f t="shared" si="16"/>
        <v>0</v>
      </c>
      <c r="L43" s="735" t="e">
        <f t="shared" si="0"/>
        <v>#REF!</v>
      </c>
      <c r="N43" s="741" t="e">
        <f t="shared" si="1"/>
        <v>#REF!</v>
      </c>
      <c r="O43" s="741" t="e">
        <f t="shared" ref="O43" si="17">N43*E43</f>
        <v>#REF!</v>
      </c>
    </row>
    <row r="44" spans="1:15" s="298" customFormat="1" ht="17.100000000000001" hidden="1" customHeight="1">
      <c r="A44" s="736" t="e">
        <f t="shared" si="3"/>
        <v>#REF!</v>
      </c>
      <c r="B44" s="296" t="s">
        <v>1364</v>
      </c>
      <c r="C44" s="296" t="s">
        <v>1365</v>
      </c>
      <c r="D44" s="297" t="s">
        <v>310</v>
      </c>
      <c r="E44" s="788"/>
      <c r="F44" s="738" t="e">
        <f>#REF!</f>
        <v>#REF!</v>
      </c>
      <c r="G44" s="738" t="e">
        <f>#REF!</f>
        <v>#REF!</v>
      </c>
      <c r="H44" s="738"/>
      <c r="I44" s="739" t="e">
        <f t="shared" si="11"/>
        <v>#REF!</v>
      </c>
      <c r="J44" s="739" t="e">
        <f t="shared" si="12"/>
        <v>#REF!</v>
      </c>
      <c r="K44" s="740">
        <f t="shared" si="13"/>
        <v>0</v>
      </c>
      <c r="L44" s="735" t="e">
        <f t="shared" si="0"/>
        <v>#REF!</v>
      </c>
      <c r="N44" s="741" t="e">
        <f t="shared" si="1"/>
        <v>#REF!</v>
      </c>
      <c r="O44" s="741" t="e">
        <f t="shared" si="10"/>
        <v>#REF!</v>
      </c>
    </row>
    <row r="45" spans="1:15" s="298" customFormat="1" ht="17.100000000000001" hidden="1" customHeight="1">
      <c r="A45" s="736" t="e">
        <f t="shared" si="3"/>
        <v>#REF!</v>
      </c>
      <c r="B45" s="296" t="s">
        <v>1304</v>
      </c>
      <c r="C45" s="296" t="s">
        <v>1305</v>
      </c>
      <c r="D45" s="297" t="s">
        <v>671</v>
      </c>
      <c r="E45" s="788"/>
      <c r="F45" s="738" t="e">
        <f>#REF!</f>
        <v>#REF!</v>
      </c>
      <c r="G45" s="738" t="e">
        <f>#REF!</f>
        <v>#REF!</v>
      </c>
      <c r="H45" s="738" t="e">
        <f>#REF!</f>
        <v>#REF!</v>
      </c>
      <c r="I45" s="739" t="e">
        <f t="shared" ref="I45:I47" si="18">E45*F45</f>
        <v>#REF!</v>
      </c>
      <c r="J45" s="739" t="e">
        <f t="shared" ref="J45:J47" si="19">E45*G45</f>
        <v>#REF!</v>
      </c>
      <c r="K45" s="740" t="e">
        <f t="shared" ref="K45:K47" si="20">E45*H45</f>
        <v>#REF!</v>
      </c>
      <c r="L45" s="735" t="e">
        <f t="shared" si="0"/>
        <v>#REF!</v>
      </c>
      <c r="N45" s="741" t="e">
        <f t="shared" si="1"/>
        <v>#REF!</v>
      </c>
      <c r="O45" s="741" t="e">
        <f t="shared" si="10"/>
        <v>#REF!</v>
      </c>
    </row>
    <row r="46" spans="1:15" s="298" customFormat="1" ht="17.100000000000001" hidden="1" customHeight="1">
      <c r="A46" s="736" t="e">
        <f t="shared" si="3"/>
        <v>#REF!</v>
      </c>
      <c r="B46" s="296" t="s">
        <v>1306</v>
      </c>
      <c r="C46" s="296" t="s">
        <v>1307</v>
      </c>
      <c r="D46" s="297" t="s">
        <v>671</v>
      </c>
      <c r="E46" s="788"/>
      <c r="F46" s="738" t="e">
        <f>#REF!</f>
        <v>#REF!</v>
      </c>
      <c r="G46" s="738" t="e">
        <f>#REF!</f>
        <v>#REF!</v>
      </c>
      <c r="H46" s="738" t="e">
        <f>#REF!</f>
        <v>#REF!</v>
      </c>
      <c r="I46" s="739" t="e">
        <f t="shared" si="18"/>
        <v>#REF!</v>
      </c>
      <c r="J46" s="739" t="e">
        <f t="shared" si="19"/>
        <v>#REF!</v>
      </c>
      <c r="K46" s="740" t="e">
        <f t="shared" si="20"/>
        <v>#REF!</v>
      </c>
      <c r="L46" s="735" t="e">
        <f t="shared" si="0"/>
        <v>#REF!</v>
      </c>
      <c r="N46" s="741" t="e">
        <f t="shared" si="1"/>
        <v>#REF!</v>
      </c>
      <c r="O46" s="741" t="e">
        <f t="shared" si="10"/>
        <v>#REF!</v>
      </c>
    </row>
    <row r="47" spans="1:15" s="298" customFormat="1" ht="17.100000000000001" hidden="1" customHeight="1">
      <c r="A47" s="736" t="e">
        <f t="shared" si="3"/>
        <v>#REF!</v>
      </c>
      <c r="B47" s="296" t="s">
        <v>1366</v>
      </c>
      <c r="C47" s="296" t="s">
        <v>1367</v>
      </c>
      <c r="D47" s="297" t="s">
        <v>310</v>
      </c>
      <c r="E47" s="788"/>
      <c r="F47" s="738" t="e">
        <f>#REF!</f>
        <v>#REF!</v>
      </c>
      <c r="G47" s="738" t="e">
        <f>#REF!</f>
        <v>#REF!</v>
      </c>
      <c r="H47" s="738"/>
      <c r="I47" s="739" t="e">
        <f t="shared" si="18"/>
        <v>#REF!</v>
      </c>
      <c r="J47" s="739" t="e">
        <f t="shared" si="19"/>
        <v>#REF!</v>
      </c>
      <c r="K47" s="740">
        <f t="shared" si="20"/>
        <v>0</v>
      </c>
      <c r="L47" s="735" t="e">
        <f t="shared" si="0"/>
        <v>#REF!</v>
      </c>
      <c r="N47" s="741" t="e">
        <f t="shared" si="1"/>
        <v>#REF!</v>
      </c>
      <c r="O47" s="741" t="e">
        <f t="shared" si="10"/>
        <v>#REF!</v>
      </c>
    </row>
    <row r="48" spans="1:15" s="298" customFormat="1" ht="17.100000000000001" hidden="1" customHeight="1">
      <c r="A48" s="736" t="e">
        <f t="shared" si="3"/>
        <v>#REF!</v>
      </c>
      <c r="B48" s="296" t="s">
        <v>1368</v>
      </c>
      <c r="C48" s="296" t="s">
        <v>1369</v>
      </c>
      <c r="D48" s="297" t="s">
        <v>310</v>
      </c>
      <c r="E48" s="788"/>
      <c r="F48" s="738" t="e">
        <f>#REF!</f>
        <v>#REF!</v>
      </c>
      <c r="G48" s="738" t="e">
        <f>#REF!</f>
        <v>#REF!</v>
      </c>
      <c r="H48" s="738" t="e">
        <f>#REF!</f>
        <v>#REF!</v>
      </c>
      <c r="I48" s="739" t="e">
        <f t="shared" si="11"/>
        <v>#REF!</v>
      </c>
      <c r="J48" s="739" t="e">
        <f t="shared" si="12"/>
        <v>#REF!</v>
      </c>
      <c r="K48" s="740" t="e">
        <f t="shared" si="13"/>
        <v>#REF!</v>
      </c>
      <c r="L48" s="735" t="e">
        <f t="shared" si="0"/>
        <v>#REF!</v>
      </c>
      <c r="N48" s="741" t="e">
        <f t="shared" si="1"/>
        <v>#REF!</v>
      </c>
      <c r="O48" s="741" t="e">
        <f t="shared" si="10"/>
        <v>#REF!</v>
      </c>
    </row>
    <row r="49" spans="1:15" s="298" customFormat="1" ht="17.100000000000001" hidden="1" customHeight="1">
      <c r="A49" s="736" t="e">
        <f t="shared" si="3"/>
        <v>#REF!</v>
      </c>
      <c r="B49" s="296" t="s">
        <v>1370</v>
      </c>
      <c r="C49" s="296" t="s">
        <v>1371</v>
      </c>
      <c r="D49" s="297" t="s">
        <v>59</v>
      </c>
      <c r="E49" s="788"/>
      <c r="F49" s="738" t="e">
        <f>#REF!</f>
        <v>#REF!</v>
      </c>
      <c r="G49" s="738" t="e">
        <f>#REF!</f>
        <v>#REF!</v>
      </c>
      <c r="H49" s="738" t="e">
        <f>#REF!</f>
        <v>#REF!</v>
      </c>
      <c r="I49" s="739" t="e">
        <f t="shared" ref="I49:I50" si="21">E49*F49</f>
        <v>#REF!</v>
      </c>
      <c r="J49" s="739" t="e">
        <f t="shared" ref="J49:J50" si="22">E49*G49</f>
        <v>#REF!</v>
      </c>
      <c r="K49" s="740" t="e">
        <f t="shared" ref="K49:K50" si="23">E49*H49</f>
        <v>#REF!</v>
      </c>
      <c r="L49" s="735" t="e">
        <f t="shared" si="0"/>
        <v>#REF!</v>
      </c>
      <c r="N49" s="741" t="e">
        <f t="shared" si="1"/>
        <v>#REF!</v>
      </c>
      <c r="O49" s="741" t="e">
        <f t="shared" si="10"/>
        <v>#REF!</v>
      </c>
    </row>
    <row r="50" spans="1:15" s="298" customFormat="1" ht="17.100000000000001" hidden="1" customHeight="1">
      <c r="A50" s="736" t="e">
        <f t="shared" si="3"/>
        <v>#REF!</v>
      </c>
      <c r="B50" s="296" t="s">
        <v>1372</v>
      </c>
      <c r="C50" s="296" t="s">
        <v>1373</v>
      </c>
      <c r="D50" s="297" t="s">
        <v>1314</v>
      </c>
      <c r="E50" s="788"/>
      <c r="F50" s="738" t="e">
        <f>#REF!</f>
        <v>#REF!</v>
      </c>
      <c r="G50" s="738" t="e">
        <f>#REF!</f>
        <v>#REF!</v>
      </c>
      <c r="H50" s="738"/>
      <c r="I50" s="739" t="e">
        <f t="shared" si="21"/>
        <v>#REF!</v>
      </c>
      <c r="J50" s="739" t="e">
        <f t="shared" si="22"/>
        <v>#REF!</v>
      </c>
      <c r="K50" s="740">
        <f t="shared" si="23"/>
        <v>0</v>
      </c>
      <c r="L50" s="735" t="e">
        <f t="shared" si="0"/>
        <v>#REF!</v>
      </c>
      <c r="N50" s="741" t="e">
        <f t="shared" si="1"/>
        <v>#REF!</v>
      </c>
      <c r="O50" s="741" t="e">
        <f t="shared" si="10"/>
        <v>#REF!</v>
      </c>
    </row>
    <row r="51" spans="1:15" s="298" customFormat="1" ht="17.100000000000001" hidden="1" customHeight="1">
      <c r="A51" s="736" t="e">
        <f t="shared" si="3"/>
        <v>#REF!</v>
      </c>
      <c r="B51" s="296" t="s">
        <v>1308</v>
      </c>
      <c r="C51" s="296" t="s">
        <v>1374</v>
      </c>
      <c r="D51" s="297" t="s">
        <v>59</v>
      </c>
      <c r="E51" s="788"/>
      <c r="F51" s="738" t="e">
        <f>#REF!</f>
        <v>#REF!</v>
      </c>
      <c r="G51" s="738" t="e">
        <f>#REF!</f>
        <v>#REF!</v>
      </c>
      <c r="H51" s="738" t="e">
        <f>#REF!</f>
        <v>#REF!</v>
      </c>
      <c r="I51" s="739" t="e">
        <f t="shared" si="11"/>
        <v>#REF!</v>
      </c>
      <c r="J51" s="739" t="e">
        <f t="shared" si="12"/>
        <v>#REF!</v>
      </c>
      <c r="K51" s="740" t="e">
        <f t="shared" si="13"/>
        <v>#REF!</v>
      </c>
      <c r="L51" s="735" t="e">
        <f t="shared" si="0"/>
        <v>#REF!</v>
      </c>
      <c r="N51" s="741" t="e">
        <f t="shared" si="1"/>
        <v>#REF!</v>
      </c>
      <c r="O51" s="741" t="e">
        <f t="shared" si="10"/>
        <v>#REF!</v>
      </c>
    </row>
    <row r="52" spans="1:15" s="298" customFormat="1" ht="17.100000000000001" hidden="1" customHeight="1">
      <c r="A52" s="736" t="e">
        <f t="shared" si="3"/>
        <v>#REF!</v>
      </c>
      <c r="B52" s="296" t="s">
        <v>1375</v>
      </c>
      <c r="C52" s="296" t="s">
        <v>1376</v>
      </c>
      <c r="D52" s="297" t="s">
        <v>1314</v>
      </c>
      <c r="E52" s="788"/>
      <c r="F52" s="738" t="e">
        <f>#REF!</f>
        <v>#REF!</v>
      </c>
      <c r="G52" s="738" t="e">
        <f>#REF!</f>
        <v>#REF!</v>
      </c>
      <c r="H52" s="738"/>
      <c r="I52" s="739" t="e">
        <f t="shared" si="11"/>
        <v>#REF!</v>
      </c>
      <c r="J52" s="739" t="e">
        <f t="shared" si="12"/>
        <v>#REF!</v>
      </c>
      <c r="K52" s="740">
        <f t="shared" si="13"/>
        <v>0</v>
      </c>
      <c r="L52" s="735" t="e">
        <f t="shared" si="0"/>
        <v>#REF!</v>
      </c>
      <c r="N52" s="741" t="e">
        <f t="shared" si="1"/>
        <v>#REF!</v>
      </c>
      <c r="O52" s="741" t="e">
        <f t="shared" si="10"/>
        <v>#REF!</v>
      </c>
    </row>
    <row r="53" spans="1:15" s="298" customFormat="1" ht="17.100000000000001" hidden="1" customHeight="1">
      <c r="A53" s="736" t="e">
        <f t="shared" si="3"/>
        <v>#REF!</v>
      </c>
      <c r="B53" s="296" t="s">
        <v>1315</v>
      </c>
      <c r="C53" s="296" t="s">
        <v>1377</v>
      </c>
      <c r="D53" s="297" t="s">
        <v>2</v>
      </c>
      <c r="E53" s="788"/>
      <c r="F53" s="738" t="e">
        <f>#REF!</f>
        <v>#REF!</v>
      </c>
      <c r="G53" s="738" t="e">
        <f>#REF!</f>
        <v>#REF!</v>
      </c>
      <c r="H53" s="738" t="e">
        <f>#REF!</f>
        <v>#REF!</v>
      </c>
      <c r="I53" s="739" t="e">
        <f t="shared" si="11"/>
        <v>#REF!</v>
      </c>
      <c r="J53" s="739" t="e">
        <f t="shared" si="12"/>
        <v>#REF!</v>
      </c>
      <c r="K53" s="740" t="e">
        <f t="shared" si="13"/>
        <v>#REF!</v>
      </c>
      <c r="L53" s="735" t="e">
        <f t="shared" si="0"/>
        <v>#REF!</v>
      </c>
      <c r="N53" s="741" t="e">
        <f t="shared" si="1"/>
        <v>#REF!</v>
      </c>
      <c r="O53" s="741" t="e">
        <f t="shared" si="10"/>
        <v>#REF!</v>
      </c>
    </row>
    <row r="54" spans="1:15" s="298" customFormat="1" ht="17.100000000000001" hidden="1" customHeight="1">
      <c r="A54" s="736" t="e">
        <f t="shared" si="3"/>
        <v>#REF!</v>
      </c>
      <c r="B54" s="296" t="s">
        <v>814</v>
      </c>
      <c r="C54" s="296" t="s">
        <v>1317</v>
      </c>
      <c r="D54" s="297" t="s">
        <v>9</v>
      </c>
      <c r="E54" s="788"/>
      <c r="F54" s="738" t="e">
        <f>#REF!</f>
        <v>#REF!</v>
      </c>
      <c r="G54" s="738" t="e">
        <f>#REF!</f>
        <v>#REF!</v>
      </c>
      <c r="H54" s="738"/>
      <c r="I54" s="739" t="e">
        <f t="shared" ref="I54:I76" si="24">E54*F54</f>
        <v>#REF!</v>
      </c>
      <c r="J54" s="739" t="e">
        <f t="shared" ref="J54:J76" si="25">E54*G54</f>
        <v>#REF!</v>
      </c>
      <c r="K54" s="740">
        <f t="shared" ref="K54:K76" si="26">E54*H54</f>
        <v>0</v>
      </c>
      <c r="L54" s="735" t="e">
        <f t="shared" si="0"/>
        <v>#REF!</v>
      </c>
      <c r="N54" s="741" t="e">
        <f t="shared" si="1"/>
        <v>#REF!</v>
      </c>
      <c r="O54" s="741" t="e">
        <f t="shared" si="10"/>
        <v>#REF!</v>
      </c>
    </row>
    <row r="55" spans="1:15" s="298" customFormat="1" ht="17.100000000000001" hidden="1" customHeight="1">
      <c r="A55" s="736" t="e">
        <f t="shared" si="3"/>
        <v>#REF!</v>
      </c>
      <c r="B55" s="296" t="s">
        <v>1378</v>
      </c>
      <c r="C55" s="296" t="s">
        <v>1379</v>
      </c>
      <c r="D55" s="297" t="s">
        <v>9</v>
      </c>
      <c r="E55" s="788"/>
      <c r="F55" s="738" t="e">
        <f>#REF!</f>
        <v>#REF!</v>
      </c>
      <c r="G55" s="738" t="e">
        <f>#REF!</f>
        <v>#REF!</v>
      </c>
      <c r="H55" s="738" t="e">
        <f>#REF!</f>
        <v>#REF!</v>
      </c>
      <c r="I55" s="739" t="e">
        <f t="shared" si="24"/>
        <v>#REF!</v>
      </c>
      <c r="J55" s="739" t="e">
        <f t="shared" si="25"/>
        <v>#REF!</v>
      </c>
      <c r="K55" s="740" t="e">
        <f t="shared" si="26"/>
        <v>#REF!</v>
      </c>
      <c r="L55" s="735" t="e">
        <f t="shared" si="0"/>
        <v>#REF!</v>
      </c>
      <c r="N55" s="741" t="e">
        <f t="shared" si="1"/>
        <v>#REF!</v>
      </c>
      <c r="O55" s="741" t="e">
        <f t="shared" si="10"/>
        <v>#REF!</v>
      </c>
    </row>
    <row r="56" spans="1:15" s="298" customFormat="1" ht="17.100000000000001" hidden="1" customHeight="1">
      <c r="A56" s="736" t="e">
        <f t="shared" si="3"/>
        <v>#REF!</v>
      </c>
      <c r="B56" s="296" t="s">
        <v>1380</v>
      </c>
      <c r="C56" s="296" t="s">
        <v>1734</v>
      </c>
      <c r="D56" s="297" t="s">
        <v>82</v>
      </c>
      <c r="E56" s="788"/>
      <c r="F56" s="738" t="e">
        <f>#REF!</f>
        <v>#REF!</v>
      </c>
      <c r="G56" s="738" t="e">
        <f>#REF!</f>
        <v>#REF!</v>
      </c>
      <c r="H56" s="738"/>
      <c r="I56" s="739" t="e">
        <f t="shared" si="24"/>
        <v>#REF!</v>
      </c>
      <c r="J56" s="739" t="e">
        <f t="shared" si="25"/>
        <v>#REF!</v>
      </c>
      <c r="K56" s="740">
        <f t="shared" si="26"/>
        <v>0</v>
      </c>
      <c r="L56" s="735" t="e">
        <f t="shared" si="0"/>
        <v>#REF!</v>
      </c>
      <c r="N56" s="741" t="e">
        <f t="shared" si="1"/>
        <v>#REF!</v>
      </c>
      <c r="O56" s="741" t="e">
        <f t="shared" si="10"/>
        <v>#REF!</v>
      </c>
    </row>
    <row r="57" spans="1:15" s="298" customFormat="1" ht="17.100000000000001" hidden="1" customHeight="1">
      <c r="A57" s="736" t="e">
        <f t="shared" si="3"/>
        <v>#REF!</v>
      </c>
      <c r="B57" s="296"/>
      <c r="C57" s="742" t="s">
        <v>1736</v>
      </c>
      <c r="D57" s="297"/>
      <c r="E57" s="788"/>
      <c r="F57" s="738"/>
      <c r="G57" s="738"/>
      <c r="H57" s="738"/>
      <c r="I57" s="739">
        <f t="shared" si="24"/>
        <v>0</v>
      </c>
      <c r="J57" s="739">
        <f t="shared" si="25"/>
        <v>0</v>
      </c>
      <c r="K57" s="740">
        <f t="shared" si="26"/>
        <v>0</v>
      </c>
      <c r="L57" s="735">
        <f t="shared" si="0"/>
        <v>0</v>
      </c>
      <c r="N57" s="741">
        <f t="shared" si="1"/>
        <v>0</v>
      </c>
      <c r="O57" s="741"/>
    </row>
    <row r="58" spans="1:15" s="298" customFormat="1" ht="17.100000000000001" hidden="1" customHeight="1">
      <c r="A58" s="736" t="e">
        <f t="shared" si="3"/>
        <v>#REF!</v>
      </c>
      <c r="B58" s="296" t="s">
        <v>1327</v>
      </c>
      <c r="C58" s="296" t="s">
        <v>1328</v>
      </c>
      <c r="D58" s="297" t="s">
        <v>2</v>
      </c>
      <c r="E58" s="788"/>
      <c r="F58" s="738" t="e">
        <f>#REF!</f>
        <v>#REF!</v>
      </c>
      <c r="G58" s="738" t="e">
        <f>#REF!</f>
        <v>#REF!</v>
      </c>
      <c r="H58" s="738" t="e">
        <f>#REF!</f>
        <v>#REF!</v>
      </c>
      <c r="I58" s="739" t="e">
        <f t="shared" si="24"/>
        <v>#REF!</v>
      </c>
      <c r="J58" s="739" t="e">
        <f t="shared" si="25"/>
        <v>#REF!</v>
      </c>
      <c r="K58" s="740" t="e">
        <f t="shared" si="26"/>
        <v>#REF!</v>
      </c>
      <c r="L58" s="735" t="e">
        <f t="shared" si="0"/>
        <v>#REF!</v>
      </c>
      <c r="N58" s="741" t="e">
        <f t="shared" si="1"/>
        <v>#REF!</v>
      </c>
      <c r="O58" s="741" t="e">
        <f>N58*E58</f>
        <v>#REF!</v>
      </c>
    </row>
    <row r="59" spans="1:15" s="298" customFormat="1" ht="17.100000000000001" hidden="1" customHeight="1">
      <c r="A59" s="736" t="e">
        <f t="shared" si="3"/>
        <v>#REF!</v>
      </c>
      <c r="B59" s="296" t="s">
        <v>1329</v>
      </c>
      <c r="C59" s="296" t="s">
        <v>1330</v>
      </c>
      <c r="D59" s="297" t="s">
        <v>9</v>
      </c>
      <c r="E59" s="788"/>
      <c r="F59" s="738" t="e">
        <f>#REF!</f>
        <v>#REF!</v>
      </c>
      <c r="G59" s="738" t="e">
        <f>#REF!</f>
        <v>#REF!</v>
      </c>
      <c r="H59" s="738" t="e">
        <f>#REF!</f>
        <v>#REF!</v>
      </c>
      <c r="I59" s="739" t="e">
        <f t="shared" si="24"/>
        <v>#REF!</v>
      </c>
      <c r="J59" s="739" t="e">
        <f t="shared" si="25"/>
        <v>#REF!</v>
      </c>
      <c r="K59" s="740" t="e">
        <f t="shared" si="26"/>
        <v>#REF!</v>
      </c>
      <c r="L59" s="735" t="e">
        <f t="shared" si="0"/>
        <v>#REF!</v>
      </c>
      <c r="N59" s="741" t="e">
        <f t="shared" si="1"/>
        <v>#REF!</v>
      </c>
      <c r="O59" s="741" t="e">
        <f>N59*E59</f>
        <v>#REF!</v>
      </c>
    </row>
    <row r="60" spans="1:15" s="298" customFormat="1" ht="17.100000000000001" hidden="1" customHeight="1">
      <c r="A60" s="736" t="e">
        <f t="shared" si="3"/>
        <v>#REF!</v>
      </c>
      <c r="B60" s="296" t="s">
        <v>1331</v>
      </c>
      <c r="C60" s="296" t="s">
        <v>1749</v>
      </c>
      <c r="D60" s="297" t="s">
        <v>59</v>
      </c>
      <c r="E60" s="788"/>
      <c r="F60" s="738" t="e">
        <f>#REF!</f>
        <v>#REF!</v>
      </c>
      <c r="G60" s="738" t="e">
        <f>#REF!</f>
        <v>#REF!</v>
      </c>
      <c r="H60" s="738" t="e">
        <f>#REF!</f>
        <v>#REF!</v>
      </c>
      <c r="I60" s="739" t="e">
        <f t="shared" si="24"/>
        <v>#REF!</v>
      </c>
      <c r="J60" s="739" t="e">
        <f t="shared" si="25"/>
        <v>#REF!</v>
      </c>
      <c r="K60" s="740" t="e">
        <f t="shared" si="26"/>
        <v>#REF!</v>
      </c>
      <c r="L60" s="735" t="e">
        <f t="shared" si="0"/>
        <v>#REF!</v>
      </c>
      <c r="N60" s="741" t="e">
        <f t="shared" si="1"/>
        <v>#REF!</v>
      </c>
      <c r="O60" s="741" t="e">
        <f>N60*E60</f>
        <v>#REF!</v>
      </c>
    </row>
    <row r="61" spans="1:15" s="298" customFormat="1" ht="17.100000000000001" hidden="1" customHeight="1">
      <c r="A61" s="736" t="e">
        <f t="shared" si="3"/>
        <v>#REF!</v>
      </c>
      <c r="B61" s="296" t="s">
        <v>1333</v>
      </c>
      <c r="C61" s="296" t="s">
        <v>1750</v>
      </c>
      <c r="D61" s="297" t="s">
        <v>59</v>
      </c>
      <c r="E61" s="788"/>
      <c r="F61" s="738" t="e">
        <f>#REF!</f>
        <v>#REF!</v>
      </c>
      <c r="G61" s="738" t="e">
        <f>#REF!</f>
        <v>#REF!</v>
      </c>
      <c r="H61" s="738" t="e">
        <f>#REF!</f>
        <v>#REF!</v>
      </c>
      <c r="I61" s="739" t="e">
        <f t="shared" si="24"/>
        <v>#REF!</v>
      </c>
      <c r="J61" s="739" t="e">
        <f t="shared" si="25"/>
        <v>#REF!</v>
      </c>
      <c r="K61" s="740" t="e">
        <f t="shared" si="26"/>
        <v>#REF!</v>
      </c>
      <c r="L61" s="735" t="e">
        <f t="shared" si="0"/>
        <v>#REF!</v>
      </c>
      <c r="N61" s="741" t="e">
        <f t="shared" si="1"/>
        <v>#REF!</v>
      </c>
      <c r="O61" s="741" t="e">
        <f>N61*E61</f>
        <v>#REF!</v>
      </c>
    </row>
    <row r="62" spans="1:15" s="298" customFormat="1" ht="17.100000000000001" hidden="1" customHeight="1">
      <c r="A62" s="736" t="e">
        <f t="shared" si="3"/>
        <v>#REF!</v>
      </c>
      <c r="B62" s="296" t="s">
        <v>1335</v>
      </c>
      <c r="C62" s="296" t="s">
        <v>1336</v>
      </c>
      <c r="D62" s="297" t="s">
        <v>9</v>
      </c>
      <c r="E62" s="788"/>
      <c r="F62" s="738" t="e">
        <f>#REF!</f>
        <v>#REF!</v>
      </c>
      <c r="G62" s="738" t="e">
        <f>#REF!</f>
        <v>#REF!</v>
      </c>
      <c r="H62" s="738"/>
      <c r="I62" s="739" t="e">
        <f t="shared" si="24"/>
        <v>#REF!</v>
      </c>
      <c r="J62" s="739" t="e">
        <f t="shared" si="25"/>
        <v>#REF!</v>
      </c>
      <c r="K62" s="740">
        <f t="shared" si="26"/>
        <v>0</v>
      </c>
      <c r="L62" s="735" t="e">
        <f t="shared" ref="L62" si="27">IF(OR(SUM(I62:K62)&lt;&gt;0,B62="*"),$L$5,0)</f>
        <v>#REF!</v>
      </c>
      <c r="N62" s="741" t="e">
        <f t="shared" ref="N62" si="28">SUM(F62:H62)*1.278</f>
        <v>#REF!</v>
      </c>
      <c r="O62" s="741" t="e">
        <f t="shared" ref="O62" si="29">N62*E62</f>
        <v>#REF!</v>
      </c>
    </row>
    <row r="63" spans="1:15" s="298" customFormat="1" ht="17.100000000000001" hidden="1" customHeight="1">
      <c r="A63" s="736" t="e">
        <f t="shared" si="3"/>
        <v>#REF!</v>
      </c>
      <c r="B63" s="296"/>
      <c r="C63" s="742" t="s">
        <v>1338</v>
      </c>
      <c r="D63" s="297" t="s">
        <v>0</v>
      </c>
      <c r="E63" s="788"/>
      <c r="F63" s="738"/>
      <c r="G63" s="738"/>
      <c r="H63" s="738"/>
      <c r="I63" s="739">
        <f t="shared" si="24"/>
        <v>0</v>
      </c>
      <c r="J63" s="739">
        <f t="shared" si="25"/>
        <v>0</v>
      </c>
      <c r="K63" s="740">
        <f t="shared" si="26"/>
        <v>0</v>
      </c>
      <c r="L63" s="735">
        <f t="shared" si="0"/>
        <v>0</v>
      </c>
      <c r="N63" s="741">
        <f t="shared" si="1"/>
        <v>0</v>
      </c>
      <c r="O63" s="741">
        <f t="shared" si="2"/>
        <v>0</v>
      </c>
    </row>
    <row r="64" spans="1:15" s="298" customFormat="1" ht="17.100000000000001" hidden="1" customHeight="1">
      <c r="A64" s="736" t="e">
        <f t="shared" si="3"/>
        <v>#REF!</v>
      </c>
      <c r="B64" s="296" t="s">
        <v>1339</v>
      </c>
      <c r="C64" s="296" t="s">
        <v>1340</v>
      </c>
      <c r="D64" s="297" t="s">
        <v>779</v>
      </c>
      <c r="E64" s="788"/>
      <c r="F64" s="738" t="e">
        <f>#REF!</f>
        <v>#REF!</v>
      </c>
      <c r="G64" s="738"/>
      <c r="H64" s="738"/>
      <c r="I64" s="739" t="e">
        <f t="shared" si="24"/>
        <v>#REF!</v>
      </c>
      <c r="J64" s="739">
        <f t="shared" si="25"/>
        <v>0</v>
      </c>
      <c r="K64" s="740">
        <f t="shared" si="26"/>
        <v>0</v>
      </c>
      <c r="L64" s="735" t="e">
        <f t="shared" si="0"/>
        <v>#REF!</v>
      </c>
      <c r="N64" s="741" t="e">
        <f t="shared" si="1"/>
        <v>#REF!</v>
      </c>
      <c r="O64" s="741" t="e">
        <f t="shared" si="2"/>
        <v>#REF!</v>
      </c>
    </row>
    <row r="65" spans="1:17" s="298" customFormat="1" ht="17.100000000000001" hidden="1" customHeight="1">
      <c r="A65" s="736" t="e">
        <f t="shared" si="3"/>
        <v>#REF!</v>
      </c>
      <c r="B65" s="296" t="s">
        <v>1341</v>
      </c>
      <c r="C65" s="296" t="s">
        <v>1342</v>
      </c>
      <c r="D65" s="297" t="s">
        <v>310</v>
      </c>
      <c r="E65" s="788"/>
      <c r="F65" s="738" t="e">
        <f>#REF!</f>
        <v>#REF!</v>
      </c>
      <c r="G65" s="738" t="e">
        <f>#REF!</f>
        <v>#REF!</v>
      </c>
      <c r="H65" s="738"/>
      <c r="I65" s="739" t="e">
        <f t="shared" si="24"/>
        <v>#REF!</v>
      </c>
      <c r="J65" s="739" t="e">
        <f t="shared" si="25"/>
        <v>#REF!</v>
      </c>
      <c r="K65" s="740">
        <f t="shared" si="26"/>
        <v>0</v>
      </c>
      <c r="L65" s="735" t="e">
        <f t="shared" si="0"/>
        <v>#REF!</v>
      </c>
      <c r="N65" s="741" t="e">
        <f t="shared" si="1"/>
        <v>#REF!</v>
      </c>
      <c r="O65" s="741" t="e">
        <f t="shared" si="2"/>
        <v>#REF!</v>
      </c>
    </row>
    <row r="66" spans="1:17" s="298" customFormat="1" ht="17.100000000000001" hidden="1" customHeight="1">
      <c r="A66" s="736" t="e">
        <f t="shared" si="3"/>
        <v>#REF!</v>
      </c>
      <c r="B66" s="296" t="s">
        <v>1343</v>
      </c>
      <c r="C66" s="296" t="s">
        <v>1344</v>
      </c>
      <c r="D66" s="297" t="s">
        <v>82</v>
      </c>
      <c r="E66" s="788"/>
      <c r="F66" s="738" t="e">
        <f>#REF!</f>
        <v>#REF!</v>
      </c>
      <c r="G66" s="738" t="e">
        <f>#REF!</f>
        <v>#REF!</v>
      </c>
      <c r="H66" s="738"/>
      <c r="I66" s="739" t="e">
        <f t="shared" si="24"/>
        <v>#REF!</v>
      </c>
      <c r="J66" s="739" t="e">
        <f t="shared" si="25"/>
        <v>#REF!</v>
      </c>
      <c r="K66" s="740">
        <f t="shared" si="26"/>
        <v>0</v>
      </c>
      <c r="L66" s="735" t="e">
        <f t="shared" si="0"/>
        <v>#REF!</v>
      </c>
      <c r="N66" s="741" t="e">
        <f t="shared" si="1"/>
        <v>#REF!</v>
      </c>
      <c r="O66" s="741" t="e">
        <f t="shared" si="2"/>
        <v>#REF!</v>
      </c>
    </row>
    <row r="67" spans="1:17" s="298" customFormat="1" ht="17.100000000000001" hidden="1" customHeight="1">
      <c r="A67" s="736" t="e">
        <f t="shared" si="3"/>
        <v>#REF!</v>
      </c>
      <c r="B67" s="296" t="s">
        <v>1345</v>
      </c>
      <c r="C67" s="296" t="s">
        <v>1346</v>
      </c>
      <c r="D67" s="297" t="s">
        <v>310</v>
      </c>
      <c r="E67" s="788"/>
      <c r="F67" s="738" t="e">
        <f>#REF!</f>
        <v>#REF!</v>
      </c>
      <c r="G67" s="738" t="e">
        <f>#REF!</f>
        <v>#REF!</v>
      </c>
      <c r="H67" s="738"/>
      <c r="I67" s="739" t="e">
        <f t="shared" si="24"/>
        <v>#REF!</v>
      </c>
      <c r="J67" s="739" t="e">
        <f t="shared" si="25"/>
        <v>#REF!</v>
      </c>
      <c r="K67" s="740">
        <f t="shared" si="26"/>
        <v>0</v>
      </c>
      <c r="L67" s="735" t="e">
        <f t="shared" si="0"/>
        <v>#REF!</v>
      </c>
      <c r="N67" s="741" t="e">
        <f t="shared" si="1"/>
        <v>#REF!</v>
      </c>
      <c r="O67" s="741" t="e">
        <f t="shared" si="2"/>
        <v>#REF!</v>
      </c>
    </row>
    <row r="68" spans="1:17" s="298" customFormat="1" ht="17.100000000000001" hidden="1" customHeight="1">
      <c r="A68" s="736" t="e">
        <f t="shared" si="3"/>
        <v>#REF!</v>
      </c>
      <c r="B68" s="296"/>
      <c r="C68" s="742" t="s">
        <v>1347</v>
      </c>
      <c r="D68" s="297" t="s">
        <v>0</v>
      </c>
      <c r="E68" s="788"/>
      <c r="F68" s="738"/>
      <c r="G68" s="738"/>
      <c r="H68" s="738"/>
      <c r="I68" s="739">
        <f t="shared" si="24"/>
        <v>0</v>
      </c>
      <c r="J68" s="739">
        <f t="shared" si="25"/>
        <v>0</v>
      </c>
      <c r="K68" s="740">
        <f t="shared" si="26"/>
        <v>0</v>
      </c>
      <c r="L68" s="735">
        <f t="shared" si="0"/>
        <v>0</v>
      </c>
      <c r="N68" s="741">
        <f t="shared" si="1"/>
        <v>0</v>
      </c>
      <c r="O68" s="741">
        <f t="shared" si="2"/>
        <v>0</v>
      </c>
    </row>
    <row r="69" spans="1:17" s="298" customFormat="1" ht="17.100000000000001" hidden="1" customHeight="1">
      <c r="A69" s="736" t="e">
        <f t="shared" si="3"/>
        <v>#REF!</v>
      </c>
      <c r="B69" s="296" t="s">
        <v>895</v>
      </c>
      <c r="C69" s="296" t="s">
        <v>840</v>
      </c>
      <c r="D69" s="297" t="s">
        <v>2</v>
      </c>
      <c r="E69" s="788"/>
      <c r="F69" s="738" t="e">
        <f>#REF!</f>
        <v>#REF!</v>
      </c>
      <c r="G69" s="738" t="e">
        <f>#REF!</f>
        <v>#REF!</v>
      </c>
      <c r="H69" s="738" t="e">
        <f>#REF!</f>
        <v>#REF!</v>
      </c>
      <c r="I69" s="739" t="e">
        <f t="shared" si="24"/>
        <v>#REF!</v>
      </c>
      <c r="J69" s="739" t="e">
        <f t="shared" si="25"/>
        <v>#REF!</v>
      </c>
      <c r="K69" s="740" t="e">
        <f t="shared" si="26"/>
        <v>#REF!</v>
      </c>
      <c r="L69" s="735" t="e">
        <f t="shared" si="0"/>
        <v>#REF!</v>
      </c>
      <c r="N69" s="741" t="e">
        <f t="shared" si="1"/>
        <v>#REF!</v>
      </c>
      <c r="O69" s="741" t="e">
        <f t="shared" si="2"/>
        <v>#REF!</v>
      </c>
    </row>
    <row r="70" spans="1:17" s="298" customFormat="1" ht="17.100000000000001" hidden="1" customHeight="1">
      <c r="A70" s="736" t="e">
        <f t="shared" si="3"/>
        <v>#REF!</v>
      </c>
      <c r="B70" s="296" t="s">
        <v>38</v>
      </c>
      <c r="C70" s="296" t="s">
        <v>85</v>
      </c>
      <c r="D70" s="297" t="s">
        <v>9</v>
      </c>
      <c r="E70" s="788"/>
      <c r="F70" s="738" t="e">
        <f>#REF!</f>
        <v>#REF!</v>
      </c>
      <c r="G70" s="738" t="e">
        <f>#REF!</f>
        <v>#REF!</v>
      </c>
      <c r="H70" s="738" t="e">
        <f>#REF!</f>
        <v>#REF!</v>
      </c>
      <c r="I70" s="739" t="e">
        <f t="shared" si="24"/>
        <v>#REF!</v>
      </c>
      <c r="J70" s="739" t="e">
        <f t="shared" si="25"/>
        <v>#REF!</v>
      </c>
      <c r="K70" s="740" t="e">
        <f t="shared" si="26"/>
        <v>#REF!</v>
      </c>
      <c r="L70" s="735" t="e">
        <f t="shared" si="0"/>
        <v>#REF!</v>
      </c>
      <c r="N70" s="741" t="e">
        <f t="shared" si="1"/>
        <v>#REF!</v>
      </c>
      <c r="O70" s="741" t="e">
        <f t="shared" si="2"/>
        <v>#REF!</v>
      </c>
    </row>
    <row r="71" spans="1:17" s="298" customFormat="1" ht="17.100000000000001" hidden="1" customHeight="1">
      <c r="A71" s="736" t="e">
        <f t="shared" si="3"/>
        <v>#REF!</v>
      </c>
      <c r="B71" s="296" t="s">
        <v>663</v>
      </c>
      <c r="C71" s="296" t="s">
        <v>842</v>
      </c>
      <c r="D71" s="297" t="s">
        <v>59</v>
      </c>
      <c r="E71" s="788"/>
      <c r="F71" s="738" t="e">
        <f>#REF!</f>
        <v>#REF!</v>
      </c>
      <c r="G71" s="738" t="e">
        <f>#REF!</f>
        <v>#REF!</v>
      </c>
      <c r="H71" s="738" t="e">
        <f>#REF!</f>
        <v>#REF!</v>
      </c>
      <c r="I71" s="739" t="e">
        <f t="shared" si="24"/>
        <v>#REF!</v>
      </c>
      <c r="J71" s="739" t="e">
        <f t="shared" si="25"/>
        <v>#REF!</v>
      </c>
      <c r="K71" s="740" t="e">
        <f t="shared" si="26"/>
        <v>#REF!</v>
      </c>
      <c r="L71" s="735" t="e">
        <f t="shared" si="0"/>
        <v>#REF!</v>
      </c>
      <c r="N71" s="741" t="e">
        <f t="shared" si="1"/>
        <v>#REF!</v>
      </c>
      <c r="O71" s="741" t="e">
        <f t="shared" si="2"/>
        <v>#REF!</v>
      </c>
    </row>
    <row r="72" spans="1:17" s="298" customFormat="1" ht="17.100000000000001" hidden="1" customHeight="1">
      <c r="A72" s="736" t="e">
        <f t="shared" si="3"/>
        <v>#REF!</v>
      </c>
      <c r="B72" s="296" t="s">
        <v>768</v>
      </c>
      <c r="C72" s="296" t="s">
        <v>841</v>
      </c>
      <c r="D72" s="297" t="s">
        <v>9</v>
      </c>
      <c r="E72" s="788"/>
      <c r="F72" s="738" t="e">
        <f>#REF!</f>
        <v>#REF!</v>
      </c>
      <c r="G72" s="738" t="e">
        <f>#REF!</f>
        <v>#REF!</v>
      </c>
      <c r="H72" s="738"/>
      <c r="I72" s="739" t="e">
        <f t="shared" si="24"/>
        <v>#REF!</v>
      </c>
      <c r="J72" s="739" t="e">
        <f t="shared" si="25"/>
        <v>#REF!</v>
      </c>
      <c r="K72" s="740">
        <f t="shared" si="26"/>
        <v>0</v>
      </c>
      <c r="L72" s="735" t="e">
        <f t="shared" si="0"/>
        <v>#REF!</v>
      </c>
      <c r="N72" s="741" t="e">
        <f t="shared" si="1"/>
        <v>#REF!</v>
      </c>
      <c r="O72" s="741" t="e">
        <f t="shared" si="2"/>
        <v>#REF!</v>
      </c>
    </row>
    <row r="73" spans="1:17" s="298" customFormat="1" ht="17.100000000000001" hidden="1" customHeight="1">
      <c r="A73" s="736" t="e">
        <f t="shared" si="3"/>
        <v>#REF!</v>
      </c>
      <c r="B73" s="296" t="s">
        <v>843</v>
      </c>
      <c r="C73" s="296" t="s">
        <v>1348</v>
      </c>
      <c r="D73" s="297" t="s">
        <v>59</v>
      </c>
      <c r="E73" s="788"/>
      <c r="F73" s="738"/>
      <c r="G73" s="738" t="e">
        <f>#REF!</f>
        <v>#REF!</v>
      </c>
      <c r="H73" s="738"/>
      <c r="I73" s="739">
        <f t="shared" si="24"/>
        <v>0</v>
      </c>
      <c r="J73" s="739" t="e">
        <f t="shared" si="25"/>
        <v>#REF!</v>
      </c>
      <c r="K73" s="740">
        <f t="shared" si="26"/>
        <v>0</v>
      </c>
      <c r="L73" s="735" t="e">
        <f t="shared" ref="L73:L137" si="30">IF(OR(SUM(I73:K73)&lt;&gt;0,B73="*"),$L$5,0)</f>
        <v>#REF!</v>
      </c>
      <c r="N73" s="741" t="e">
        <f t="shared" si="1"/>
        <v>#REF!</v>
      </c>
      <c r="O73" s="741" t="e">
        <f t="shared" si="2"/>
        <v>#REF!</v>
      </c>
    </row>
    <row r="74" spans="1:17" s="298" customFormat="1" ht="17.100000000000001" hidden="1" customHeight="1">
      <c r="A74" s="736" t="e">
        <f t="shared" ref="A74:A137" si="31">IF(SUM(F74:H74)&lt;&gt;0,A73+L74,A73)</f>
        <v>#REF!</v>
      </c>
      <c r="B74" s="296" t="s">
        <v>845</v>
      </c>
      <c r="C74" s="296" t="s">
        <v>846</v>
      </c>
      <c r="D74" s="297" t="s">
        <v>59</v>
      </c>
      <c r="E74" s="788"/>
      <c r="F74" s="738" t="e">
        <f>#REF!</f>
        <v>#REF!</v>
      </c>
      <c r="G74" s="738"/>
      <c r="H74" s="738"/>
      <c r="I74" s="739" t="e">
        <f t="shared" si="24"/>
        <v>#REF!</v>
      </c>
      <c r="J74" s="739">
        <f t="shared" si="25"/>
        <v>0</v>
      </c>
      <c r="K74" s="740">
        <f t="shared" si="26"/>
        <v>0</v>
      </c>
      <c r="L74" s="735" t="e">
        <f t="shared" si="30"/>
        <v>#REF!</v>
      </c>
      <c r="N74" s="741" t="e">
        <f t="shared" si="1"/>
        <v>#REF!</v>
      </c>
      <c r="O74" s="741" t="e">
        <f t="shared" si="2"/>
        <v>#REF!</v>
      </c>
    </row>
    <row r="75" spans="1:17" s="298" customFormat="1" ht="17.100000000000001" hidden="1" customHeight="1">
      <c r="A75" s="736" t="e">
        <f t="shared" si="31"/>
        <v>#REF!</v>
      </c>
      <c r="B75" s="296" t="s">
        <v>847</v>
      </c>
      <c r="C75" s="296" t="s">
        <v>848</v>
      </c>
      <c r="D75" s="297" t="s">
        <v>607</v>
      </c>
      <c r="E75" s="788"/>
      <c r="F75" s="738" t="e">
        <f>#REF!</f>
        <v>#REF!</v>
      </c>
      <c r="G75" s="738"/>
      <c r="H75" s="738"/>
      <c r="I75" s="739" t="e">
        <f t="shared" si="24"/>
        <v>#REF!</v>
      </c>
      <c r="J75" s="739">
        <f t="shared" si="25"/>
        <v>0</v>
      </c>
      <c r="K75" s="740">
        <f t="shared" si="26"/>
        <v>0</v>
      </c>
      <c r="L75" s="735" t="e">
        <f t="shared" si="30"/>
        <v>#REF!</v>
      </c>
      <c r="N75" s="741" t="e">
        <f t="shared" si="1"/>
        <v>#REF!</v>
      </c>
      <c r="O75" s="741" t="e">
        <f t="shared" si="2"/>
        <v>#REF!</v>
      </c>
    </row>
    <row r="76" spans="1:17" s="298" customFormat="1" ht="17.100000000000001" hidden="1" customHeight="1">
      <c r="A76" s="736" t="e">
        <f t="shared" si="31"/>
        <v>#REF!</v>
      </c>
      <c r="B76" s="296"/>
      <c r="C76" s="742" t="s">
        <v>1349</v>
      </c>
      <c r="D76" s="297" t="s">
        <v>0</v>
      </c>
      <c r="E76" s="788"/>
      <c r="F76" s="738"/>
      <c r="G76" s="738"/>
      <c r="H76" s="738"/>
      <c r="I76" s="739">
        <f t="shared" si="24"/>
        <v>0</v>
      </c>
      <c r="J76" s="739">
        <f t="shared" si="25"/>
        <v>0</v>
      </c>
      <c r="K76" s="740">
        <f t="shared" si="26"/>
        <v>0</v>
      </c>
      <c r="L76" s="735">
        <f t="shared" si="30"/>
        <v>0</v>
      </c>
      <c r="N76" s="741">
        <f t="shared" si="1"/>
        <v>0</v>
      </c>
      <c r="O76" s="741">
        <f t="shared" si="2"/>
        <v>0</v>
      </c>
    </row>
    <row r="77" spans="1:17" s="298" customFormat="1" ht="17.100000000000001" hidden="1" customHeight="1">
      <c r="A77" s="736" t="e">
        <f t="shared" si="31"/>
        <v>#REF!</v>
      </c>
      <c r="B77" s="296" t="s">
        <v>1030</v>
      </c>
      <c r="C77" s="296" t="s">
        <v>1507</v>
      </c>
      <c r="D77" s="297" t="s">
        <v>310</v>
      </c>
      <c r="E77" s="788"/>
      <c r="F77" s="738" t="e">
        <f>#REF!</f>
        <v>#REF!</v>
      </c>
      <c r="G77" s="738" t="e">
        <f>#REF!</f>
        <v>#REF!</v>
      </c>
      <c r="H77" s="738" t="e">
        <f>#REF!</f>
        <v>#REF!</v>
      </c>
      <c r="I77" s="739" t="e">
        <f t="shared" ref="I77:I82" si="32">E77*F77</f>
        <v>#REF!</v>
      </c>
      <c r="J77" s="739" t="e">
        <f t="shared" ref="J77:J82" si="33">E77*G77</f>
        <v>#REF!</v>
      </c>
      <c r="K77" s="740" t="e">
        <f t="shared" ref="K77:K82" si="34">E77*H77</f>
        <v>#REF!</v>
      </c>
      <c r="L77" s="735" t="e">
        <f t="shared" si="30"/>
        <v>#REF!</v>
      </c>
      <c r="N77" s="741" t="e">
        <f t="shared" si="1"/>
        <v>#REF!</v>
      </c>
      <c r="O77" s="741" t="e">
        <f t="shared" si="2"/>
        <v>#REF!</v>
      </c>
    </row>
    <row r="78" spans="1:17" s="298" customFormat="1" ht="17.100000000000001" hidden="1" customHeight="1">
      <c r="A78" s="736" t="e">
        <f t="shared" si="31"/>
        <v>#REF!</v>
      </c>
      <c r="B78" s="296" t="s">
        <v>1508</v>
      </c>
      <c r="C78" s="296" t="s">
        <v>1509</v>
      </c>
      <c r="D78" s="297" t="s">
        <v>310</v>
      </c>
      <c r="E78" s="788"/>
      <c r="F78" s="738" t="e">
        <f>#REF!</f>
        <v>#REF!</v>
      </c>
      <c r="G78" s="738" t="e">
        <f>#REF!</f>
        <v>#REF!</v>
      </c>
      <c r="H78" s="738" t="e">
        <f>#REF!</f>
        <v>#REF!</v>
      </c>
      <c r="I78" s="739" t="e">
        <f t="shared" si="32"/>
        <v>#REF!</v>
      </c>
      <c r="J78" s="739" t="e">
        <f t="shared" si="33"/>
        <v>#REF!</v>
      </c>
      <c r="K78" s="740" t="e">
        <f t="shared" si="34"/>
        <v>#REF!</v>
      </c>
      <c r="L78" s="735" t="e">
        <f t="shared" si="30"/>
        <v>#REF!</v>
      </c>
      <c r="N78" s="741" t="e">
        <f t="shared" si="1"/>
        <v>#REF!</v>
      </c>
      <c r="O78" s="741" t="e">
        <f t="shared" si="2"/>
        <v>#REF!</v>
      </c>
    </row>
    <row r="79" spans="1:17" s="298" customFormat="1" ht="17.100000000000001" hidden="1" customHeight="1">
      <c r="A79" s="736" t="e">
        <f t="shared" si="31"/>
        <v>#REF!</v>
      </c>
      <c r="B79" s="296" t="s">
        <v>1350</v>
      </c>
      <c r="C79" s="296" t="s">
        <v>1351</v>
      </c>
      <c r="D79" s="297" t="s">
        <v>129</v>
      </c>
      <c r="E79" s="788"/>
      <c r="F79" s="738" t="e">
        <f>#REF!</f>
        <v>#REF!</v>
      </c>
      <c r="G79" s="738" t="e">
        <f>#REF!</f>
        <v>#REF!</v>
      </c>
      <c r="H79" s="738"/>
      <c r="I79" s="739" t="e">
        <f t="shared" si="32"/>
        <v>#REF!</v>
      </c>
      <c r="J79" s="739" t="e">
        <f t="shared" si="33"/>
        <v>#REF!</v>
      </c>
      <c r="K79" s="740">
        <f t="shared" si="34"/>
        <v>0</v>
      </c>
      <c r="L79" s="735" t="e">
        <f t="shared" si="30"/>
        <v>#REF!</v>
      </c>
      <c r="N79" s="741" t="e">
        <f t="shared" si="1"/>
        <v>#REF!</v>
      </c>
      <c r="O79" s="741" t="e">
        <f t="shared" si="2"/>
        <v>#REF!</v>
      </c>
      <c r="Q79" s="811"/>
    </row>
    <row r="80" spans="1:17" s="298" customFormat="1" ht="17.100000000000001" hidden="1" customHeight="1">
      <c r="A80" s="736" t="e">
        <f t="shared" si="31"/>
        <v>#REF!</v>
      </c>
      <c r="B80" s="296" t="s">
        <v>1352</v>
      </c>
      <c r="C80" s="296" t="s">
        <v>1353</v>
      </c>
      <c r="D80" s="297" t="s">
        <v>59</v>
      </c>
      <c r="E80" s="788"/>
      <c r="F80" s="738" t="e">
        <f>#REF!</f>
        <v>#REF!</v>
      </c>
      <c r="G80" s="738" t="e">
        <f>#REF!</f>
        <v>#REF!</v>
      </c>
      <c r="H80" s="738" t="e">
        <f>#REF!</f>
        <v>#REF!</v>
      </c>
      <c r="I80" s="739" t="e">
        <f t="shared" si="32"/>
        <v>#REF!</v>
      </c>
      <c r="J80" s="739" t="e">
        <f t="shared" si="33"/>
        <v>#REF!</v>
      </c>
      <c r="K80" s="740" t="e">
        <f t="shared" si="34"/>
        <v>#REF!</v>
      </c>
      <c r="L80" s="735" t="e">
        <f t="shared" si="30"/>
        <v>#REF!</v>
      </c>
      <c r="N80" s="741" t="e">
        <f t="shared" si="1"/>
        <v>#REF!</v>
      </c>
      <c r="O80" s="741" t="e">
        <f t="shared" si="2"/>
        <v>#REF!</v>
      </c>
    </row>
    <row r="81" spans="1:15" s="298" customFormat="1" ht="17.100000000000001" hidden="1" customHeight="1">
      <c r="A81" s="736" t="e">
        <f t="shared" si="31"/>
        <v>#REF!</v>
      </c>
      <c r="B81" s="296" t="s">
        <v>1354</v>
      </c>
      <c r="C81" s="296" t="s">
        <v>1355</v>
      </c>
      <c r="D81" s="297" t="s">
        <v>59</v>
      </c>
      <c r="E81" s="788"/>
      <c r="F81" s="738" t="e">
        <f>#REF!</f>
        <v>#REF!</v>
      </c>
      <c r="G81" s="738" t="e">
        <f>#REF!</f>
        <v>#REF!</v>
      </c>
      <c r="H81" s="738" t="e">
        <f>#REF!</f>
        <v>#REF!</v>
      </c>
      <c r="I81" s="739" t="e">
        <f t="shared" si="32"/>
        <v>#REF!</v>
      </c>
      <c r="J81" s="739" t="e">
        <f t="shared" si="33"/>
        <v>#REF!</v>
      </c>
      <c r="K81" s="740" t="e">
        <f t="shared" si="34"/>
        <v>#REF!</v>
      </c>
      <c r="L81" s="735" t="e">
        <f t="shared" si="30"/>
        <v>#REF!</v>
      </c>
      <c r="N81" s="741" t="e">
        <f t="shared" si="1"/>
        <v>#REF!</v>
      </c>
      <c r="O81" s="741" t="e">
        <f t="shared" si="2"/>
        <v>#REF!</v>
      </c>
    </row>
    <row r="82" spans="1:15" s="298" customFormat="1" ht="17.100000000000001" hidden="1" customHeight="1">
      <c r="A82" s="736" t="e">
        <f t="shared" si="31"/>
        <v>#REF!</v>
      </c>
      <c r="B82" s="296" t="s">
        <v>814</v>
      </c>
      <c r="C82" s="296" t="s">
        <v>815</v>
      </c>
      <c r="D82" s="297" t="s">
        <v>9</v>
      </c>
      <c r="E82" s="788"/>
      <c r="F82" s="738" t="e">
        <f>#REF!</f>
        <v>#REF!</v>
      </c>
      <c r="G82" s="738" t="e">
        <f>#REF!</f>
        <v>#REF!</v>
      </c>
      <c r="H82" s="738"/>
      <c r="I82" s="739" t="e">
        <f t="shared" si="32"/>
        <v>#REF!</v>
      </c>
      <c r="J82" s="739" t="e">
        <f t="shared" si="33"/>
        <v>#REF!</v>
      </c>
      <c r="K82" s="740">
        <f t="shared" si="34"/>
        <v>0</v>
      </c>
      <c r="L82" s="735" t="e">
        <f t="shared" si="30"/>
        <v>#REF!</v>
      </c>
      <c r="N82" s="741" t="e">
        <f t="shared" si="1"/>
        <v>#REF!</v>
      </c>
      <c r="O82" s="741" t="e">
        <f t="shared" si="2"/>
        <v>#REF!</v>
      </c>
    </row>
    <row r="83" spans="1:15" s="298" customFormat="1" ht="17.100000000000001" hidden="1" customHeight="1">
      <c r="A83" s="736" t="e">
        <f t="shared" si="31"/>
        <v>#REF!</v>
      </c>
      <c r="B83" s="744" t="s">
        <v>1356</v>
      </c>
      <c r="C83" s="744" t="s">
        <v>1357</v>
      </c>
      <c r="D83" s="745" t="s">
        <v>2</v>
      </c>
      <c r="E83" s="820"/>
      <c r="F83" s="746" t="e">
        <f>#REF!</f>
        <v>#REF!</v>
      </c>
      <c r="G83" s="746" t="e">
        <f>#REF!</f>
        <v>#REF!</v>
      </c>
      <c r="H83" s="746" t="e">
        <f>#REF!</f>
        <v>#REF!</v>
      </c>
      <c r="I83" s="747" t="e">
        <f>E83*F83</f>
        <v>#REF!</v>
      </c>
      <c r="J83" s="747" t="e">
        <f>E83*G83</f>
        <v>#REF!</v>
      </c>
      <c r="K83" s="748" t="e">
        <f>E83*H83</f>
        <v>#REF!</v>
      </c>
      <c r="L83" s="735" t="e">
        <f t="shared" si="30"/>
        <v>#REF!</v>
      </c>
      <c r="N83" s="741" t="e">
        <f t="shared" si="1"/>
        <v>#REF!</v>
      </c>
      <c r="O83" s="741" t="e">
        <f t="shared" si="2"/>
        <v>#REF!</v>
      </c>
    </row>
    <row r="84" spans="1:15" s="298" customFormat="1" ht="17.100000000000001" hidden="1" customHeight="1">
      <c r="A84" s="736" t="e">
        <f t="shared" si="31"/>
        <v>#REF!</v>
      </c>
      <c r="B84" s="758" t="s">
        <v>0</v>
      </c>
      <c r="C84" s="730" t="s">
        <v>1738</v>
      </c>
      <c r="D84" s="774" t="s">
        <v>0</v>
      </c>
      <c r="E84" s="821"/>
      <c r="F84" s="760"/>
      <c r="G84" s="760"/>
      <c r="H84" s="760"/>
      <c r="I84" s="733" t="e">
        <f>SUM(I85:I137)</f>
        <v>#REF!</v>
      </c>
      <c r="J84" s="733" t="e">
        <f>SUM(J85:J137)</f>
        <v>#REF!</v>
      </c>
      <c r="K84" s="734" t="e">
        <f>SUM(K85:K137)</f>
        <v>#REF!</v>
      </c>
      <c r="L84" s="735" t="e">
        <f t="shared" si="30"/>
        <v>#REF!</v>
      </c>
      <c r="N84" s="741">
        <f t="shared" ref="N84:N115" si="35">SUM(F84:H84)*1.278</f>
        <v>0</v>
      </c>
      <c r="O84" s="741">
        <f t="shared" ref="O84:O163" si="36">N84*E84</f>
        <v>0</v>
      </c>
    </row>
    <row r="85" spans="1:15" s="298" customFormat="1" ht="17.100000000000001" hidden="1" customHeight="1">
      <c r="A85" s="736" t="e">
        <f t="shared" si="31"/>
        <v>#REF!</v>
      </c>
      <c r="B85" s="296"/>
      <c r="C85" s="742" t="s">
        <v>1686</v>
      </c>
      <c r="D85" s="297" t="s">
        <v>0</v>
      </c>
      <c r="E85" s="788"/>
      <c r="F85" s="738"/>
      <c r="G85" s="738"/>
      <c r="H85" s="738"/>
      <c r="I85" s="739"/>
      <c r="J85" s="739"/>
      <c r="K85" s="740"/>
      <c r="L85" s="735">
        <f t="shared" si="30"/>
        <v>0</v>
      </c>
      <c r="N85" s="741">
        <f t="shared" si="35"/>
        <v>0</v>
      </c>
      <c r="O85" s="741">
        <f t="shared" si="36"/>
        <v>0</v>
      </c>
    </row>
    <row r="86" spans="1:15" s="298" customFormat="1" ht="17.100000000000001" hidden="1" customHeight="1">
      <c r="A86" s="736" t="e">
        <f t="shared" si="31"/>
        <v>#REF!</v>
      </c>
      <c r="B86" s="296" t="s">
        <v>1381</v>
      </c>
      <c r="C86" s="296" t="s">
        <v>1382</v>
      </c>
      <c r="D86" s="297" t="s">
        <v>2</v>
      </c>
      <c r="E86" s="788"/>
      <c r="F86" s="738" t="e">
        <f>#REF!</f>
        <v>#REF!</v>
      </c>
      <c r="G86" s="738" t="e">
        <f>#REF!</f>
        <v>#REF!</v>
      </c>
      <c r="H86" s="738" t="e">
        <f>#REF!</f>
        <v>#REF!</v>
      </c>
      <c r="I86" s="739" t="e">
        <f t="shared" ref="I86:I111" si="37">E86*F86</f>
        <v>#REF!</v>
      </c>
      <c r="J86" s="739" t="e">
        <f t="shared" ref="J86:J111" si="38">E86*G86</f>
        <v>#REF!</v>
      </c>
      <c r="K86" s="740" t="e">
        <f t="shared" ref="K86:K111" si="39">E86*H86</f>
        <v>#REF!</v>
      </c>
      <c r="L86" s="735" t="e">
        <f t="shared" si="30"/>
        <v>#REF!</v>
      </c>
      <c r="N86" s="741" t="e">
        <f t="shared" si="35"/>
        <v>#REF!</v>
      </c>
      <c r="O86" s="741" t="e">
        <f t="shared" si="36"/>
        <v>#REF!</v>
      </c>
    </row>
    <row r="87" spans="1:15" s="298" customFormat="1" ht="17.100000000000001" hidden="1" customHeight="1">
      <c r="A87" s="736" t="e">
        <f t="shared" si="31"/>
        <v>#REF!</v>
      </c>
      <c r="B87" s="296" t="s">
        <v>1383</v>
      </c>
      <c r="C87" s="296" t="s">
        <v>1384</v>
      </c>
      <c r="D87" s="297" t="s">
        <v>2</v>
      </c>
      <c r="E87" s="788"/>
      <c r="F87" s="738" t="e">
        <f>#REF!</f>
        <v>#REF!</v>
      </c>
      <c r="G87" s="738" t="e">
        <f>#REF!</f>
        <v>#REF!</v>
      </c>
      <c r="H87" s="738" t="e">
        <f>#REF!</f>
        <v>#REF!</v>
      </c>
      <c r="I87" s="739" t="e">
        <f t="shared" si="37"/>
        <v>#REF!</v>
      </c>
      <c r="J87" s="739" t="e">
        <f t="shared" si="38"/>
        <v>#REF!</v>
      </c>
      <c r="K87" s="740" t="e">
        <f t="shared" si="39"/>
        <v>#REF!</v>
      </c>
      <c r="L87" s="735" t="e">
        <f t="shared" si="30"/>
        <v>#REF!</v>
      </c>
      <c r="N87" s="741" t="e">
        <f t="shared" si="35"/>
        <v>#REF!</v>
      </c>
      <c r="O87" s="741" t="e">
        <f t="shared" si="36"/>
        <v>#REF!</v>
      </c>
    </row>
    <row r="88" spans="1:15" s="298" customFormat="1" ht="17.100000000000001" hidden="1" customHeight="1">
      <c r="A88" s="736" t="e">
        <f t="shared" si="31"/>
        <v>#REF!</v>
      </c>
      <c r="B88" s="296" t="s">
        <v>1385</v>
      </c>
      <c r="C88" s="296" t="s">
        <v>1386</v>
      </c>
      <c r="D88" s="297" t="s">
        <v>2</v>
      </c>
      <c r="E88" s="788"/>
      <c r="F88" s="738" t="e">
        <f>#REF!</f>
        <v>#REF!</v>
      </c>
      <c r="G88" s="738" t="e">
        <f>#REF!</f>
        <v>#REF!</v>
      </c>
      <c r="H88" s="738" t="e">
        <f>#REF!</f>
        <v>#REF!</v>
      </c>
      <c r="I88" s="739" t="e">
        <f t="shared" si="37"/>
        <v>#REF!</v>
      </c>
      <c r="J88" s="739" t="e">
        <f t="shared" si="38"/>
        <v>#REF!</v>
      </c>
      <c r="K88" s="740" t="e">
        <f t="shared" si="39"/>
        <v>#REF!</v>
      </c>
      <c r="L88" s="735" t="e">
        <f t="shared" si="30"/>
        <v>#REF!</v>
      </c>
      <c r="N88" s="741" t="e">
        <f t="shared" si="35"/>
        <v>#REF!</v>
      </c>
      <c r="O88" s="741" t="e">
        <f t="shared" si="36"/>
        <v>#REF!</v>
      </c>
    </row>
    <row r="89" spans="1:15" s="298" customFormat="1" ht="17.100000000000001" hidden="1" customHeight="1">
      <c r="A89" s="736" t="e">
        <f t="shared" si="31"/>
        <v>#REF!</v>
      </c>
      <c r="B89" s="296" t="s">
        <v>1296</v>
      </c>
      <c r="C89" s="296" t="s">
        <v>1297</v>
      </c>
      <c r="D89" s="297" t="s">
        <v>2</v>
      </c>
      <c r="E89" s="788"/>
      <c r="F89" s="738"/>
      <c r="G89" s="738"/>
      <c r="H89" s="738" t="e">
        <f>#REF!</f>
        <v>#REF!</v>
      </c>
      <c r="I89" s="739">
        <f t="shared" si="37"/>
        <v>0</v>
      </c>
      <c r="J89" s="739">
        <f t="shared" si="38"/>
        <v>0</v>
      </c>
      <c r="K89" s="740" t="e">
        <f t="shared" si="39"/>
        <v>#REF!</v>
      </c>
      <c r="L89" s="735" t="e">
        <f t="shared" si="30"/>
        <v>#REF!</v>
      </c>
      <c r="N89" s="741" t="e">
        <f t="shared" si="35"/>
        <v>#REF!</v>
      </c>
      <c r="O89" s="741" t="e">
        <f t="shared" si="36"/>
        <v>#REF!</v>
      </c>
    </row>
    <row r="90" spans="1:15" s="298" customFormat="1" ht="17.100000000000001" hidden="1" customHeight="1">
      <c r="A90" s="736" t="e">
        <f t="shared" si="31"/>
        <v>#REF!</v>
      </c>
      <c r="B90" s="296" t="s">
        <v>1387</v>
      </c>
      <c r="C90" s="296" t="s">
        <v>1388</v>
      </c>
      <c r="D90" s="297" t="s">
        <v>9</v>
      </c>
      <c r="E90" s="788"/>
      <c r="F90" s="738" t="e">
        <f>#REF!</f>
        <v>#REF!</v>
      </c>
      <c r="G90" s="738" t="e">
        <f>#REF!</f>
        <v>#REF!</v>
      </c>
      <c r="H90" s="738" t="e">
        <f>#REF!</f>
        <v>#REF!</v>
      </c>
      <c r="I90" s="739" t="e">
        <f t="shared" ref="I90:I93" si="40">E90*F90</f>
        <v>#REF!</v>
      </c>
      <c r="J90" s="739" t="e">
        <f t="shared" ref="J90:J93" si="41">E90*G90</f>
        <v>#REF!</v>
      </c>
      <c r="K90" s="740" t="e">
        <f t="shared" ref="K90:K93" si="42">E90*H90</f>
        <v>#REF!</v>
      </c>
      <c r="L90" s="735" t="e">
        <f t="shared" si="30"/>
        <v>#REF!</v>
      </c>
      <c r="N90" s="741" t="e">
        <f t="shared" si="35"/>
        <v>#REF!</v>
      </c>
      <c r="O90" s="741" t="e">
        <f t="shared" si="36"/>
        <v>#REF!</v>
      </c>
    </row>
    <row r="91" spans="1:15" s="298" customFormat="1" ht="17.100000000000001" hidden="1" customHeight="1">
      <c r="A91" s="736" t="e">
        <f t="shared" si="31"/>
        <v>#REF!</v>
      </c>
      <c r="B91" s="296" t="s">
        <v>1683</v>
      </c>
      <c r="C91" s="296" t="s">
        <v>1684</v>
      </c>
      <c r="D91" s="297" t="s">
        <v>59</v>
      </c>
      <c r="E91" s="788"/>
      <c r="F91" s="738" t="e">
        <f>#REF!</f>
        <v>#REF!</v>
      </c>
      <c r="G91" s="738" t="e">
        <f>#REF!</f>
        <v>#REF!</v>
      </c>
      <c r="H91" s="738" t="e">
        <f>#REF!</f>
        <v>#REF!</v>
      </c>
      <c r="I91" s="739" t="e">
        <f t="shared" si="40"/>
        <v>#REF!</v>
      </c>
      <c r="J91" s="739" t="e">
        <f t="shared" si="41"/>
        <v>#REF!</v>
      </c>
      <c r="K91" s="740" t="e">
        <f t="shared" si="42"/>
        <v>#REF!</v>
      </c>
      <c r="L91" s="735" t="e">
        <f t="shared" si="30"/>
        <v>#REF!</v>
      </c>
      <c r="N91" s="741" t="e">
        <f t="shared" si="35"/>
        <v>#REF!</v>
      </c>
      <c r="O91" s="741" t="e">
        <f t="shared" ref="O91" si="43">N91*E91</f>
        <v>#REF!</v>
      </c>
    </row>
    <row r="92" spans="1:15" s="298" customFormat="1" ht="17.100000000000001" hidden="1" customHeight="1">
      <c r="A92" s="736" t="e">
        <f t="shared" si="31"/>
        <v>#REF!</v>
      </c>
      <c r="B92" s="296" t="s">
        <v>1389</v>
      </c>
      <c r="C92" s="296" t="s">
        <v>1390</v>
      </c>
      <c r="D92" s="297" t="s">
        <v>59</v>
      </c>
      <c r="E92" s="788"/>
      <c r="F92" s="738" t="e">
        <f>#REF!</f>
        <v>#REF!</v>
      </c>
      <c r="G92" s="738" t="e">
        <f>#REF!</f>
        <v>#REF!</v>
      </c>
      <c r="H92" s="738" t="e">
        <f>#REF!</f>
        <v>#REF!</v>
      </c>
      <c r="I92" s="739" t="e">
        <f t="shared" si="40"/>
        <v>#REF!</v>
      </c>
      <c r="J92" s="739" t="e">
        <f t="shared" si="41"/>
        <v>#REF!</v>
      </c>
      <c r="K92" s="740" t="e">
        <f t="shared" si="42"/>
        <v>#REF!</v>
      </c>
      <c r="L92" s="735" t="e">
        <f t="shared" si="30"/>
        <v>#REF!</v>
      </c>
      <c r="N92" s="741" t="e">
        <f t="shared" si="35"/>
        <v>#REF!</v>
      </c>
      <c r="O92" s="741" t="e">
        <f t="shared" si="36"/>
        <v>#REF!</v>
      </c>
    </row>
    <row r="93" spans="1:15" s="298" customFormat="1" ht="17.100000000000001" hidden="1" customHeight="1">
      <c r="A93" s="736" t="e">
        <f t="shared" si="31"/>
        <v>#REF!</v>
      </c>
      <c r="B93" s="296" t="s">
        <v>1391</v>
      </c>
      <c r="C93" s="296" t="s">
        <v>1392</v>
      </c>
      <c r="D93" s="297" t="s">
        <v>59</v>
      </c>
      <c r="E93" s="788"/>
      <c r="F93" s="738" t="e">
        <f>#REF!</f>
        <v>#REF!</v>
      </c>
      <c r="G93" s="738" t="e">
        <f>#REF!</f>
        <v>#REF!</v>
      </c>
      <c r="H93" s="738" t="e">
        <f>#REF!</f>
        <v>#REF!</v>
      </c>
      <c r="I93" s="739" t="e">
        <f t="shared" si="40"/>
        <v>#REF!</v>
      </c>
      <c r="J93" s="739" t="e">
        <f t="shared" si="41"/>
        <v>#REF!</v>
      </c>
      <c r="K93" s="740" t="e">
        <f t="shared" si="42"/>
        <v>#REF!</v>
      </c>
      <c r="L93" s="735" t="e">
        <f t="shared" si="30"/>
        <v>#REF!</v>
      </c>
      <c r="N93" s="741" t="e">
        <f t="shared" si="35"/>
        <v>#REF!</v>
      </c>
      <c r="O93" s="741" t="e">
        <f t="shared" si="36"/>
        <v>#REF!</v>
      </c>
    </row>
    <row r="94" spans="1:15" s="298" customFormat="1" ht="17.100000000000001" hidden="1" customHeight="1">
      <c r="A94" s="736" t="e">
        <f t="shared" si="31"/>
        <v>#REF!</v>
      </c>
      <c r="B94" s="296" t="s">
        <v>1393</v>
      </c>
      <c r="C94" s="296" t="s">
        <v>1394</v>
      </c>
      <c r="D94" s="297" t="s">
        <v>671</v>
      </c>
      <c r="E94" s="788"/>
      <c r="F94" s="738" t="e">
        <f>#REF!</f>
        <v>#REF!</v>
      </c>
      <c r="G94" s="738" t="e">
        <f>#REF!</f>
        <v>#REF!</v>
      </c>
      <c r="H94" s="738" t="e">
        <f>#REF!</f>
        <v>#REF!</v>
      </c>
      <c r="I94" s="739" t="e">
        <f t="shared" si="37"/>
        <v>#REF!</v>
      </c>
      <c r="J94" s="739" t="e">
        <f t="shared" si="38"/>
        <v>#REF!</v>
      </c>
      <c r="K94" s="740" t="e">
        <f t="shared" si="39"/>
        <v>#REF!</v>
      </c>
      <c r="L94" s="735" t="e">
        <f t="shared" si="30"/>
        <v>#REF!</v>
      </c>
      <c r="N94" s="741" t="e">
        <f t="shared" si="35"/>
        <v>#REF!</v>
      </c>
      <c r="O94" s="741" t="e">
        <f t="shared" si="36"/>
        <v>#REF!</v>
      </c>
    </row>
    <row r="95" spans="1:15" s="298" customFormat="1" ht="17.100000000000001" hidden="1" customHeight="1">
      <c r="A95" s="736" t="e">
        <f t="shared" si="31"/>
        <v>#REF!</v>
      </c>
      <c r="B95" s="296" t="s">
        <v>1691</v>
      </c>
      <c r="C95" s="296" t="s">
        <v>1753</v>
      </c>
      <c r="D95" s="297" t="s">
        <v>310</v>
      </c>
      <c r="E95" s="788"/>
      <c r="F95" s="738" t="e">
        <f>#REF!</f>
        <v>#REF!</v>
      </c>
      <c r="G95" s="738" t="e">
        <f>#REF!</f>
        <v>#REF!</v>
      </c>
      <c r="H95" s="738" t="e">
        <f>#REF!</f>
        <v>#REF!</v>
      </c>
      <c r="I95" s="739" t="e">
        <f t="shared" ref="I95:I97" si="44">E95*F95</f>
        <v>#REF!</v>
      </c>
      <c r="J95" s="739" t="e">
        <f t="shared" ref="J95:J97" si="45">E95*G95</f>
        <v>#REF!</v>
      </c>
      <c r="K95" s="740" t="e">
        <f t="shared" ref="K95:K97" si="46">E95*H95</f>
        <v>#REF!</v>
      </c>
      <c r="L95" s="735" t="e">
        <f t="shared" si="30"/>
        <v>#REF!</v>
      </c>
      <c r="N95" s="741" t="e">
        <f t="shared" si="35"/>
        <v>#REF!</v>
      </c>
      <c r="O95" s="741"/>
    </row>
    <row r="96" spans="1:15" s="298" customFormat="1" ht="17.100000000000001" hidden="1" customHeight="1">
      <c r="A96" s="736" t="e">
        <f t="shared" si="31"/>
        <v>#REF!</v>
      </c>
      <c r="B96" s="296" t="s">
        <v>1696</v>
      </c>
      <c r="C96" s="296" t="s">
        <v>1751</v>
      </c>
      <c r="D96" s="297" t="s">
        <v>59</v>
      </c>
      <c r="E96" s="788"/>
      <c r="F96" s="738" t="e">
        <f>#REF!</f>
        <v>#REF!</v>
      </c>
      <c r="G96" s="738" t="e">
        <f>#REF!</f>
        <v>#REF!</v>
      </c>
      <c r="H96" s="738" t="e">
        <f>#REF!</f>
        <v>#REF!</v>
      </c>
      <c r="I96" s="739" t="e">
        <f t="shared" si="44"/>
        <v>#REF!</v>
      </c>
      <c r="J96" s="739" t="e">
        <f t="shared" si="45"/>
        <v>#REF!</v>
      </c>
      <c r="K96" s="740" t="e">
        <f t="shared" si="46"/>
        <v>#REF!</v>
      </c>
      <c r="L96" s="735" t="e">
        <f t="shared" si="30"/>
        <v>#REF!</v>
      </c>
      <c r="N96" s="741" t="e">
        <f t="shared" si="35"/>
        <v>#REF!</v>
      </c>
      <c r="O96" s="741" t="e">
        <f t="shared" ref="O96" si="47">N96*E96</f>
        <v>#REF!</v>
      </c>
    </row>
    <row r="97" spans="1:15" s="298" customFormat="1" ht="17.100000000000001" hidden="1" customHeight="1">
      <c r="A97" s="736" t="e">
        <f t="shared" si="31"/>
        <v>#REF!</v>
      </c>
      <c r="B97" s="296" t="s">
        <v>71</v>
      </c>
      <c r="C97" s="296" t="s">
        <v>1694</v>
      </c>
      <c r="D97" s="297" t="s">
        <v>9</v>
      </c>
      <c r="E97" s="788"/>
      <c r="F97" s="738" t="e">
        <f>#REF!</f>
        <v>#REF!</v>
      </c>
      <c r="G97" s="738"/>
      <c r="H97" s="738"/>
      <c r="I97" s="739" t="e">
        <f t="shared" si="44"/>
        <v>#REF!</v>
      </c>
      <c r="J97" s="739">
        <f t="shared" si="45"/>
        <v>0</v>
      </c>
      <c r="K97" s="740">
        <f t="shared" si="46"/>
        <v>0</v>
      </c>
      <c r="L97" s="735" t="e">
        <f t="shared" si="30"/>
        <v>#REF!</v>
      </c>
      <c r="N97" s="741" t="e">
        <f t="shared" si="35"/>
        <v>#REF!</v>
      </c>
      <c r="O97" s="741" t="e">
        <f t="shared" ref="O97" si="48">N97*E97</f>
        <v>#REF!</v>
      </c>
    </row>
    <row r="98" spans="1:15" s="298" customFormat="1" ht="17.100000000000001" hidden="1" customHeight="1">
      <c r="A98" s="736" t="e">
        <f t="shared" si="31"/>
        <v>#REF!</v>
      </c>
      <c r="B98" s="296" t="s">
        <v>1395</v>
      </c>
      <c r="C98" s="296" t="s">
        <v>1396</v>
      </c>
      <c r="D98" s="297" t="s">
        <v>2</v>
      </c>
      <c r="E98" s="788"/>
      <c r="F98" s="738" t="e">
        <f>#REF!</f>
        <v>#REF!</v>
      </c>
      <c r="G98" s="738" t="e">
        <f>#REF!</f>
        <v>#REF!</v>
      </c>
      <c r="H98" s="738" t="e">
        <f>#REF!</f>
        <v>#REF!</v>
      </c>
      <c r="I98" s="739" t="e">
        <f t="shared" ref="I98:I104" si="49">E98*F98</f>
        <v>#REF!</v>
      </c>
      <c r="J98" s="739" t="e">
        <f t="shared" ref="J98:J104" si="50">E98*G98</f>
        <v>#REF!</v>
      </c>
      <c r="K98" s="740" t="e">
        <f t="shared" ref="K98:K104" si="51">E98*H98</f>
        <v>#REF!</v>
      </c>
      <c r="L98" s="735" t="e">
        <f t="shared" si="30"/>
        <v>#REF!</v>
      </c>
      <c r="N98" s="741" t="e">
        <f t="shared" si="35"/>
        <v>#REF!</v>
      </c>
      <c r="O98" s="741" t="e">
        <f t="shared" si="36"/>
        <v>#REF!</v>
      </c>
    </row>
    <row r="99" spans="1:15" s="298" customFormat="1" ht="17.100000000000001" hidden="1" customHeight="1">
      <c r="A99" s="736" t="e">
        <f t="shared" si="31"/>
        <v>#REF!</v>
      </c>
      <c r="B99" s="296" t="s">
        <v>1397</v>
      </c>
      <c r="C99" s="296" t="s">
        <v>1398</v>
      </c>
      <c r="D99" s="297" t="s">
        <v>2</v>
      </c>
      <c r="E99" s="788"/>
      <c r="F99" s="738" t="e">
        <f>#REF!</f>
        <v>#REF!</v>
      </c>
      <c r="G99" s="738" t="e">
        <f>#REF!</f>
        <v>#REF!</v>
      </c>
      <c r="H99" s="738" t="e">
        <f>#REF!</f>
        <v>#REF!</v>
      </c>
      <c r="I99" s="739" t="e">
        <f t="shared" si="49"/>
        <v>#REF!</v>
      </c>
      <c r="J99" s="739" t="e">
        <f t="shared" si="50"/>
        <v>#REF!</v>
      </c>
      <c r="K99" s="740" t="e">
        <f t="shared" si="51"/>
        <v>#REF!</v>
      </c>
      <c r="L99" s="735" t="e">
        <f t="shared" si="30"/>
        <v>#REF!</v>
      </c>
      <c r="N99" s="741" t="e">
        <f t="shared" si="35"/>
        <v>#REF!</v>
      </c>
      <c r="O99" s="741" t="e">
        <f t="shared" si="36"/>
        <v>#REF!</v>
      </c>
    </row>
    <row r="100" spans="1:15" s="298" customFormat="1" ht="17.100000000000001" hidden="1" customHeight="1">
      <c r="A100" s="736" t="e">
        <f t="shared" si="31"/>
        <v>#REF!</v>
      </c>
      <c r="B100" s="296" t="s">
        <v>84</v>
      </c>
      <c r="C100" s="296" t="s">
        <v>816</v>
      </c>
      <c r="D100" s="297" t="s">
        <v>9</v>
      </c>
      <c r="E100" s="788"/>
      <c r="F100" s="738" t="e">
        <f>#REF!</f>
        <v>#REF!</v>
      </c>
      <c r="G100" s="738" t="e">
        <f>#REF!</f>
        <v>#REF!</v>
      </c>
      <c r="H100" s="738" t="e">
        <f>#REF!</f>
        <v>#REF!</v>
      </c>
      <c r="I100" s="739" t="e">
        <f t="shared" si="49"/>
        <v>#REF!</v>
      </c>
      <c r="J100" s="739" t="e">
        <f t="shared" si="50"/>
        <v>#REF!</v>
      </c>
      <c r="K100" s="740" t="e">
        <f t="shared" si="51"/>
        <v>#REF!</v>
      </c>
      <c r="L100" s="735" t="e">
        <f t="shared" si="30"/>
        <v>#REF!</v>
      </c>
      <c r="N100" s="741" t="e">
        <f t="shared" si="35"/>
        <v>#REF!</v>
      </c>
      <c r="O100" s="741" t="e">
        <f t="shared" si="36"/>
        <v>#REF!</v>
      </c>
    </row>
    <row r="101" spans="1:15" s="298" customFormat="1" ht="17.100000000000001" hidden="1" customHeight="1">
      <c r="A101" s="736" t="e">
        <f t="shared" si="31"/>
        <v>#REF!</v>
      </c>
      <c r="B101" s="296" t="s">
        <v>1399</v>
      </c>
      <c r="C101" s="296" t="s">
        <v>1400</v>
      </c>
      <c r="D101" s="297" t="s">
        <v>2</v>
      </c>
      <c r="E101" s="788"/>
      <c r="F101" s="738" t="e">
        <f>#REF!</f>
        <v>#REF!</v>
      </c>
      <c r="G101" s="738" t="e">
        <f>#REF!</f>
        <v>#REF!</v>
      </c>
      <c r="H101" s="738" t="e">
        <f>#REF!</f>
        <v>#REF!</v>
      </c>
      <c r="I101" s="739" t="e">
        <f t="shared" si="49"/>
        <v>#REF!</v>
      </c>
      <c r="J101" s="739" t="e">
        <f t="shared" si="50"/>
        <v>#REF!</v>
      </c>
      <c r="K101" s="740" t="e">
        <f t="shared" si="51"/>
        <v>#REF!</v>
      </c>
      <c r="L101" s="735" t="e">
        <f t="shared" si="30"/>
        <v>#REF!</v>
      </c>
      <c r="N101" s="741" t="e">
        <f t="shared" si="35"/>
        <v>#REF!</v>
      </c>
      <c r="O101" s="741" t="e">
        <f t="shared" si="36"/>
        <v>#REF!</v>
      </c>
    </row>
    <row r="102" spans="1:15" s="298" customFormat="1" ht="17.100000000000001" hidden="1" customHeight="1">
      <c r="A102" s="736" t="e">
        <f t="shared" si="31"/>
        <v>#REF!</v>
      </c>
      <c r="B102" s="296" t="s">
        <v>1395</v>
      </c>
      <c r="C102" s="296" t="s">
        <v>1401</v>
      </c>
      <c r="D102" s="297" t="s">
        <v>2</v>
      </c>
      <c r="E102" s="788"/>
      <c r="F102" s="738" t="e">
        <f>#REF!</f>
        <v>#REF!</v>
      </c>
      <c r="G102" s="738" t="e">
        <f>#REF!</f>
        <v>#REF!</v>
      </c>
      <c r="H102" s="738" t="e">
        <f>#REF!</f>
        <v>#REF!</v>
      </c>
      <c r="I102" s="739" t="e">
        <f t="shared" si="49"/>
        <v>#REF!</v>
      </c>
      <c r="J102" s="739" t="e">
        <f t="shared" si="50"/>
        <v>#REF!</v>
      </c>
      <c r="K102" s="740" t="e">
        <f t="shared" si="51"/>
        <v>#REF!</v>
      </c>
      <c r="L102" s="735" t="e">
        <f t="shared" si="30"/>
        <v>#REF!</v>
      </c>
      <c r="N102" s="741" t="e">
        <f t="shared" si="35"/>
        <v>#REF!</v>
      </c>
      <c r="O102" s="741" t="e">
        <f t="shared" si="36"/>
        <v>#REF!</v>
      </c>
    </row>
    <row r="103" spans="1:15" s="298" customFormat="1" ht="17.100000000000001" hidden="1" customHeight="1">
      <c r="A103" s="736" t="e">
        <f t="shared" si="31"/>
        <v>#REF!</v>
      </c>
      <c r="B103" s="296" t="s">
        <v>84</v>
      </c>
      <c r="C103" s="296" t="s">
        <v>85</v>
      </c>
      <c r="D103" s="297" t="s">
        <v>9</v>
      </c>
      <c r="E103" s="788"/>
      <c r="F103" s="738" t="e">
        <f>#REF!</f>
        <v>#REF!</v>
      </c>
      <c r="G103" s="738" t="e">
        <f>#REF!</f>
        <v>#REF!</v>
      </c>
      <c r="H103" s="738" t="e">
        <f>#REF!</f>
        <v>#REF!</v>
      </c>
      <c r="I103" s="739" t="e">
        <f t="shared" si="49"/>
        <v>#REF!</v>
      </c>
      <c r="J103" s="739" t="e">
        <f t="shared" si="50"/>
        <v>#REF!</v>
      </c>
      <c r="K103" s="740" t="e">
        <f t="shared" si="51"/>
        <v>#REF!</v>
      </c>
      <c r="L103" s="735" t="e">
        <f t="shared" si="30"/>
        <v>#REF!</v>
      </c>
      <c r="N103" s="741" t="e">
        <f t="shared" si="35"/>
        <v>#REF!</v>
      </c>
      <c r="O103" s="741" t="e">
        <f t="shared" si="36"/>
        <v>#REF!</v>
      </c>
    </row>
    <row r="104" spans="1:15" s="298" customFormat="1" ht="17.100000000000001" hidden="1" customHeight="1">
      <c r="A104" s="736" t="e">
        <f t="shared" si="31"/>
        <v>#REF!</v>
      </c>
      <c r="B104" s="296" t="s">
        <v>1402</v>
      </c>
      <c r="C104" s="296" t="s">
        <v>1403</v>
      </c>
      <c r="D104" s="297" t="s">
        <v>2</v>
      </c>
      <c r="E104" s="788"/>
      <c r="F104" s="738" t="e">
        <f>#REF!</f>
        <v>#REF!</v>
      </c>
      <c r="G104" s="738" t="e">
        <f>#REF!</f>
        <v>#REF!</v>
      </c>
      <c r="H104" s="738" t="e">
        <f>#REF!</f>
        <v>#REF!</v>
      </c>
      <c r="I104" s="739" t="e">
        <f t="shared" si="49"/>
        <v>#REF!</v>
      </c>
      <c r="J104" s="739" t="e">
        <f t="shared" si="50"/>
        <v>#REF!</v>
      </c>
      <c r="K104" s="740" t="e">
        <f t="shared" si="51"/>
        <v>#REF!</v>
      </c>
      <c r="L104" s="735" t="e">
        <f t="shared" si="30"/>
        <v>#REF!</v>
      </c>
      <c r="N104" s="741" t="e">
        <f t="shared" si="35"/>
        <v>#REF!</v>
      </c>
      <c r="O104" s="741" t="e">
        <f t="shared" si="36"/>
        <v>#REF!</v>
      </c>
    </row>
    <row r="105" spans="1:15" s="298" customFormat="1" ht="17.100000000000001" hidden="1" customHeight="1">
      <c r="A105" s="736" t="e">
        <f t="shared" si="31"/>
        <v>#REF!</v>
      </c>
      <c r="B105" s="296" t="s">
        <v>1404</v>
      </c>
      <c r="C105" s="296" t="s">
        <v>1405</v>
      </c>
      <c r="D105" s="297" t="s">
        <v>2</v>
      </c>
      <c r="E105" s="788"/>
      <c r="F105" s="738" t="e">
        <f>#REF!</f>
        <v>#REF!</v>
      </c>
      <c r="G105" s="738" t="e">
        <f>#REF!</f>
        <v>#REF!</v>
      </c>
      <c r="H105" s="738" t="e">
        <f>#REF!</f>
        <v>#REF!</v>
      </c>
      <c r="I105" s="739" t="e">
        <f t="shared" si="37"/>
        <v>#REF!</v>
      </c>
      <c r="J105" s="739" t="e">
        <f t="shared" si="38"/>
        <v>#REF!</v>
      </c>
      <c r="K105" s="740" t="e">
        <f t="shared" si="39"/>
        <v>#REF!</v>
      </c>
      <c r="L105" s="735" t="e">
        <f t="shared" si="30"/>
        <v>#REF!</v>
      </c>
      <c r="N105" s="741" t="e">
        <f t="shared" si="35"/>
        <v>#REF!</v>
      </c>
      <c r="O105" s="741" t="e">
        <f t="shared" si="36"/>
        <v>#REF!</v>
      </c>
    </row>
    <row r="106" spans="1:15" s="298" customFormat="1" ht="17.100000000000001" hidden="1" customHeight="1">
      <c r="A106" s="736" t="e">
        <f t="shared" si="31"/>
        <v>#REF!</v>
      </c>
      <c r="B106" s="296" t="s">
        <v>547</v>
      </c>
      <c r="C106" s="296" t="s">
        <v>85</v>
      </c>
      <c r="D106" s="297" t="s">
        <v>9</v>
      </c>
      <c r="E106" s="788"/>
      <c r="F106" s="738" t="e">
        <f>#REF!</f>
        <v>#REF!</v>
      </c>
      <c r="G106" s="738" t="e">
        <f>#REF!</f>
        <v>#REF!</v>
      </c>
      <c r="H106" s="738" t="e">
        <f>#REF!</f>
        <v>#REF!</v>
      </c>
      <c r="I106" s="739" t="e">
        <f t="shared" ref="I106" si="52">E106*F106</f>
        <v>#REF!</v>
      </c>
      <c r="J106" s="739" t="e">
        <f t="shared" ref="J106" si="53">E106*G106</f>
        <v>#REF!</v>
      </c>
      <c r="K106" s="740" t="e">
        <f t="shared" ref="K106" si="54">E106*H106</f>
        <v>#REF!</v>
      </c>
      <c r="L106" s="735" t="e">
        <f t="shared" si="30"/>
        <v>#REF!</v>
      </c>
      <c r="N106" s="741" t="e">
        <f t="shared" si="35"/>
        <v>#REF!</v>
      </c>
      <c r="O106" s="741" t="e">
        <f t="shared" si="36"/>
        <v>#REF!</v>
      </c>
    </row>
    <row r="107" spans="1:15" s="298" customFormat="1" ht="17.100000000000001" hidden="1" customHeight="1">
      <c r="A107" s="736" t="e">
        <f t="shared" si="31"/>
        <v>#REF!</v>
      </c>
      <c r="B107" s="296" t="s">
        <v>859</v>
      </c>
      <c r="C107" s="296" t="s">
        <v>1406</v>
      </c>
      <c r="D107" s="297" t="s">
        <v>310</v>
      </c>
      <c r="E107" s="788"/>
      <c r="F107" s="738" t="e">
        <f>#REF!</f>
        <v>#REF!</v>
      </c>
      <c r="G107" s="738"/>
      <c r="H107" s="738"/>
      <c r="I107" s="739" t="e">
        <f t="shared" si="37"/>
        <v>#REF!</v>
      </c>
      <c r="J107" s="739">
        <f t="shared" si="38"/>
        <v>0</v>
      </c>
      <c r="K107" s="740">
        <f t="shared" si="39"/>
        <v>0</v>
      </c>
      <c r="L107" s="735" t="e">
        <f t="shared" si="30"/>
        <v>#REF!</v>
      </c>
      <c r="N107" s="741" t="e">
        <f t="shared" si="35"/>
        <v>#REF!</v>
      </c>
      <c r="O107" s="741" t="e">
        <f t="shared" si="36"/>
        <v>#REF!</v>
      </c>
    </row>
    <row r="108" spans="1:15" s="298" customFormat="1" ht="17.100000000000001" hidden="1" customHeight="1">
      <c r="A108" s="736" t="e">
        <f t="shared" si="31"/>
        <v>#REF!</v>
      </c>
      <c r="B108" s="296" t="s">
        <v>573</v>
      </c>
      <c r="C108" s="296" t="s">
        <v>1407</v>
      </c>
      <c r="D108" s="297" t="s">
        <v>2</v>
      </c>
      <c r="E108" s="788"/>
      <c r="F108" s="738" t="e">
        <f>#REF!</f>
        <v>#REF!</v>
      </c>
      <c r="G108" s="738" t="e">
        <f>#REF!</f>
        <v>#REF!</v>
      </c>
      <c r="H108" s="738"/>
      <c r="I108" s="739" t="e">
        <f t="shared" ref="I108" si="55">E108*F108</f>
        <v>#REF!</v>
      </c>
      <c r="J108" s="739" t="e">
        <f t="shared" ref="J108" si="56">E108*G108</f>
        <v>#REF!</v>
      </c>
      <c r="K108" s="740">
        <f t="shared" ref="K108" si="57">E108*H108</f>
        <v>0</v>
      </c>
      <c r="L108" s="735" t="e">
        <f t="shared" si="30"/>
        <v>#REF!</v>
      </c>
      <c r="N108" s="741" t="e">
        <f t="shared" si="35"/>
        <v>#REF!</v>
      </c>
      <c r="O108" s="741" t="e">
        <f t="shared" si="36"/>
        <v>#REF!</v>
      </c>
    </row>
    <row r="109" spans="1:15" s="298" customFormat="1" ht="17.100000000000001" hidden="1" customHeight="1">
      <c r="A109" s="736" t="e">
        <f t="shared" si="31"/>
        <v>#REF!</v>
      </c>
      <c r="B109" s="296" t="s">
        <v>1408</v>
      </c>
      <c r="C109" s="296" t="s">
        <v>1409</v>
      </c>
      <c r="D109" s="297" t="s">
        <v>551</v>
      </c>
      <c r="E109" s="788"/>
      <c r="F109" s="738" t="e">
        <f>#REF!</f>
        <v>#REF!</v>
      </c>
      <c r="G109" s="738" t="e">
        <f>#REF!</f>
        <v>#REF!</v>
      </c>
      <c r="H109" s="738"/>
      <c r="I109" s="739" t="e">
        <f t="shared" si="37"/>
        <v>#REF!</v>
      </c>
      <c r="J109" s="739" t="e">
        <f t="shared" si="38"/>
        <v>#REF!</v>
      </c>
      <c r="K109" s="740">
        <f t="shared" si="39"/>
        <v>0</v>
      </c>
      <c r="L109" s="735" t="e">
        <f t="shared" si="30"/>
        <v>#REF!</v>
      </c>
      <c r="N109" s="741" t="e">
        <f t="shared" si="35"/>
        <v>#REF!</v>
      </c>
      <c r="O109" s="741" t="e">
        <f t="shared" si="36"/>
        <v>#REF!</v>
      </c>
    </row>
    <row r="110" spans="1:15" s="298" customFormat="1" ht="17.100000000000001" hidden="1" customHeight="1">
      <c r="A110" s="736" t="e">
        <f t="shared" si="31"/>
        <v>#REF!</v>
      </c>
      <c r="B110" s="296" t="s">
        <v>692</v>
      </c>
      <c r="C110" s="296" t="s">
        <v>1530</v>
      </c>
      <c r="D110" s="297" t="s">
        <v>2</v>
      </c>
      <c r="E110" s="788"/>
      <c r="F110" s="738"/>
      <c r="G110" s="738" t="e">
        <f>#REF!</f>
        <v>#REF!</v>
      </c>
      <c r="H110" s="738" t="e">
        <f>#REF!</f>
        <v>#REF!</v>
      </c>
      <c r="I110" s="739">
        <f t="shared" ref="I110" si="58">E110*F110</f>
        <v>0</v>
      </c>
      <c r="J110" s="739" t="e">
        <f t="shared" ref="J110" si="59">E110*G110</f>
        <v>#REF!</v>
      </c>
      <c r="K110" s="740" t="e">
        <f t="shared" ref="K110" si="60">E110*H110</f>
        <v>#REF!</v>
      </c>
      <c r="L110" s="735" t="e">
        <f t="shared" si="30"/>
        <v>#REF!</v>
      </c>
      <c r="N110" s="741" t="e">
        <f t="shared" si="35"/>
        <v>#REF!</v>
      </c>
      <c r="O110" s="741" t="e">
        <f t="shared" si="36"/>
        <v>#REF!</v>
      </c>
    </row>
    <row r="111" spans="1:15" s="298" customFormat="1" ht="17.100000000000001" hidden="1" customHeight="1">
      <c r="A111" s="736" t="e">
        <f t="shared" si="31"/>
        <v>#REF!</v>
      </c>
      <c r="B111" s="296" t="s">
        <v>694</v>
      </c>
      <c r="C111" s="296" t="s">
        <v>1410</v>
      </c>
      <c r="D111" s="297" t="s">
        <v>2</v>
      </c>
      <c r="E111" s="788"/>
      <c r="F111" s="738"/>
      <c r="G111" s="738" t="e">
        <f>#REF!</f>
        <v>#REF!</v>
      </c>
      <c r="H111" s="738"/>
      <c r="I111" s="739">
        <f t="shared" si="37"/>
        <v>0</v>
      </c>
      <c r="J111" s="739" t="e">
        <f t="shared" si="38"/>
        <v>#REF!</v>
      </c>
      <c r="K111" s="740">
        <f t="shared" si="39"/>
        <v>0</v>
      </c>
      <c r="L111" s="735" t="e">
        <f t="shared" si="30"/>
        <v>#REF!</v>
      </c>
      <c r="N111" s="741" t="e">
        <f t="shared" si="35"/>
        <v>#REF!</v>
      </c>
      <c r="O111" s="741" t="e">
        <f t="shared" si="36"/>
        <v>#REF!</v>
      </c>
    </row>
    <row r="112" spans="1:15" s="298" customFormat="1" ht="17.100000000000001" hidden="1" customHeight="1">
      <c r="A112" s="736" t="e">
        <f t="shared" si="31"/>
        <v>#REF!</v>
      </c>
      <c r="B112" s="296" t="s">
        <v>550</v>
      </c>
      <c r="C112" s="296" t="s">
        <v>696</v>
      </c>
      <c r="D112" s="297" t="s">
        <v>2</v>
      </c>
      <c r="E112" s="788"/>
      <c r="F112" s="738"/>
      <c r="G112" s="738" t="e">
        <f>#REF!</f>
        <v>#REF!</v>
      </c>
      <c r="H112" s="738" t="e">
        <f>#REF!</f>
        <v>#REF!</v>
      </c>
      <c r="I112" s="739">
        <f t="shared" ref="I112:I118" si="61">E112*F112</f>
        <v>0</v>
      </c>
      <c r="J112" s="739" t="e">
        <f t="shared" ref="J112:J118" si="62">E112*G112</f>
        <v>#REF!</v>
      </c>
      <c r="K112" s="740" t="e">
        <f t="shared" ref="K112:K118" si="63">E112*H112</f>
        <v>#REF!</v>
      </c>
      <c r="L112" s="735" t="e">
        <f t="shared" si="30"/>
        <v>#REF!</v>
      </c>
      <c r="N112" s="741" t="e">
        <f t="shared" si="35"/>
        <v>#REF!</v>
      </c>
      <c r="O112" s="741" t="e">
        <f t="shared" si="36"/>
        <v>#REF!</v>
      </c>
    </row>
    <row r="113" spans="1:15" s="298" customFormat="1" ht="17.100000000000001" hidden="1" customHeight="1">
      <c r="A113" s="736" t="e">
        <f t="shared" si="31"/>
        <v>#REF!</v>
      </c>
      <c r="B113" s="296" t="s">
        <v>546</v>
      </c>
      <c r="C113" s="296" t="s">
        <v>1411</v>
      </c>
      <c r="D113" s="297" t="s">
        <v>2</v>
      </c>
      <c r="E113" s="788"/>
      <c r="F113" s="738" t="e">
        <f>#REF!</f>
        <v>#REF!</v>
      </c>
      <c r="G113" s="738" t="e">
        <f>#REF!</f>
        <v>#REF!</v>
      </c>
      <c r="H113" s="738" t="e">
        <f>#REF!</f>
        <v>#REF!</v>
      </c>
      <c r="I113" s="739" t="e">
        <f t="shared" si="61"/>
        <v>#REF!</v>
      </c>
      <c r="J113" s="739" t="e">
        <f t="shared" si="62"/>
        <v>#REF!</v>
      </c>
      <c r="K113" s="740" t="e">
        <f t="shared" si="63"/>
        <v>#REF!</v>
      </c>
      <c r="L113" s="735" t="e">
        <f t="shared" si="30"/>
        <v>#REF!</v>
      </c>
      <c r="N113" s="741" t="e">
        <f t="shared" si="35"/>
        <v>#REF!</v>
      </c>
      <c r="O113" s="741" t="e">
        <f t="shared" si="36"/>
        <v>#REF!</v>
      </c>
    </row>
    <row r="114" spans="1:15" s="298" customFormat="1" ht="17.100000000000001" hidden="1" customHeight="1">
      <c r="A114" s="736" t="e">
        <f t="shared" si="31"/>
        <v>#REF!</v>
      </c>
      <c r="B114" s="296" t="s">
        <v>550</v>
      </c>
      <c r="C114" s="296" t="s">
        <v>1752</v>
      </c>
      <c r="D114" s="297" t="s">
        <v>2</v>
      </c>
      <c r="E114" s="788"/>
      <c r="F114" s="738"/>
      <c r="G114" s="738" t="e">
        <f>#REF!</f>
        <v>#REF!</v>
      </c>
      <c r="H114" s="738" t="e">
        <f>#REF!</f>
        <v>#REF!</v>
      </c>
      <c r="I114" s="739">
        <f t="shared" si="61"/>
        <v>0</v>
      </c>
      <c r="J114" s="739" t="e">
        <f t="shared" si="62"/>
        <v>#REF!</v>
      </c>
      <c r="K114" s="740" t="e">
        <f t="shared" si="63"/>
        <v>#REF!</v>
      </c>
      <c r="L114" s="735" t="e">
        <f t="shared" si="30"/>
        <v>#REF!</v>
      </c>
      <c r="N114" s="741" t="e">
        <f t="shared" si="35"/>
        <v>#REF!</v>
      </c>
      <c r="O114" s="741" t="e">
        <f t="shared" si="36"/>
        <v>#REF!</v>
      </c>
    </row>
    <row r="115" spans="1:15" s="298" customFormat="1" ht="17.100000000000001" hidden="1" customHeight="1">
      <c r="A115" s="736" t="e">
        <f t="shared" si="31"/>
        <v>#REF!</v>
      </c>
      <c r="B115" s="296" t="s">
        <v>600</v>
      </c>
      <c r="C115" s="296" t="s">
        <v>865</v>
      </c>
      <c r="D115" s="297" t="s">
        <v>2</v>
      </c>
      <c r="E115" s="788"/>
      <c r="F115" s="738" t="e">
        <f>#REF!</f>
        <v>#REF!</v>
      </c>
      <c r="G115" s="738"/>
      <c r="H115" s="738"/>
      <c r="I115" s="739" t="e">
        <f t="shared" si="61"/>
        <v>#REF!</v>
      </c>
      <c r="J115" s="739">
        <f t="shared" si="62"/>
        <v>0</v>
      </c>
      <c r="K115" s="740">
        <f t="shared" si="63"/>
        <v>0</v>
      </c>
      <c r="L115" s="735" t="e">
        <f t="shared" si="30"/>
        <v>#REF!</v>
      </c>
      <c r="N115" s="741" t="e">
        <f t="shared" si="35"/>
        <v>#REF!</v>
      </c>
      <c r="O115" s="741" t="e">
        <f t="shared" si="36"/>
        <v>#REF!</v>
      </c>
    </row>
    <row r="116" spans="1:15" s="298" customFormat="1" ht="17.100000000000001" hidden="1" customHeight="1">
      <c r="A116" s="736" t="e">
        <f t="shared" si="31"/>
        <v>#REF!</v>
      </c>
      <c r="B116" s="296" t="s">
        <v>1815</v>
      </c>
      <c r="C116" s="296" t="s">
        <v>1817</v>
      </c>
      <c r="D116" s="297" t="s">
        <v>551</v>
      </c>
      <c r="E116" s="788"/>
      <c r="F116" s="738" t="e">
        <f>#REF!</f>
        <v>#REF!</v>
      </c>
      <c r="G116" s="738" t="e">
        <f>#REF!</f>
        <v>#REF!</v>
      </c>
      <c r="H116" s="738"/>
      <c r="I116" s="739" t="e">
        <f t="shared" si="61"/>
        <v>#REF!</v>
      </c>
      <c r="J116" s="739" t="e">
        <f t="shared" si="62"/>
        <v>#REF!</v>
      </c>
      <c r="K116" s="740">
        <f t="shared" si="63"/>
        <v>0</v>
      </c>
      <c r="L116" s="735" t="e">
        <f t="shared" ref="L116" si="64">IF(OR(SUM(I116:K116)&lt;&gt;0,B116="*"),$L$5,0)</f>
        <v>#REF!</v>
      </c>
      <c r="N116" s="741" t="e">
        <f t="shared" ref="N116" si="65">SUM(F116:H116)*1.278</f>
        <v>#REF!</v>
      </c>
      <c r="O116" s="741" t="e">
        <f t="shared" si="36"/>
        <v>#REF!</v>
      </c>
    </row>
    <row r="117" spans="1:15" s="298" customFormat="1" ht="17.100000000000001" hidden="1" customHeight="1">
      <c r="A117" s="736" t="e">
        <f t="shared" si="31"/>
        <v>#REF!</v>
      </c>
      <c r="B117" s="296"/>
      <c r="C117" s="742" t="s">
        <v>1685</v>
      </c>
      <c r="D117" s="297" t="s">
        <v>0</v>
      </c>
      <c r="E117" s="788"/>
      <c r="F117" s="738"/>
      <c r="G117" s="738"/>
      <c r="H117" s="738"/>
      <c r="I117" s="739">
        <f t="shared" si="61"/>
        <v>0</v>
      </c>
      <c r="J117" s="739">
        <f t="shared" si="62"/>
        <v>0</v>
      </c>
      <c r="K117" s="740">
        <f t="shared" si="63"/>
        <v>0</v>
      </c>
      <c r="L117" s="735">
        <f t="shared" si="30"/>
        <v>0</v>
      </c>
      <c r="N117" s="741">
        <f t="shared" ref="N117:N130" si="66">SUM(F117:H117)*1.278</f>
        <v>0</v>
      </c>
      <c r="O117" s="741">
        <f t="shared" ref="O117:O130" si="67">N117*E117</f>
        <v>0</v>
      </c>
    </row>
    <row r="118" spans="1:15" s="298" customFormat="1" ht="17.100000000000001" hidden="1" customHeight="1">
      <c r="A118" s="736" t="e">
        <f t="shared" si="31"/>
        <v>#REF!</v>
      </c>
      <c r="B118" s="296" t="s">
        <v>1381</v>
      </c>
      <c r="C118" s="296" t="s">
        <v>1698</v>
      </c>
      <c r="D118" s="297" t="s">
        <v>2</v>
      </c>
      <c r="E118" s="788"/>
      <c r="F118" s="738" t="e">
        <f>#REF!</f>
        <v>#REF!</v>
      </c>
      <c r="G118" s="738" t="e">
        <f>#REF!</f>
        <v>#REF!</v>
      </c>
      <c r="H118" s="738" t="e">
        <f>#REF!</f>
        <v>#REF!</v>
      </c>
      <c r="I118" s="739" t="e">
        <f t="shared" si="61"/>
        <v>#REF!</v>
      </c>
      <c r="J118" s="739" t="e">
        <f t="shared" si="62"/>
        <v>#REF!</v>
      </c>
      <c r="K118" s="740" t="e">
        <f t="shared" si="63"/>
        <v>#REF!</v>
      </c>
      <c r="L118" s="735" t="e">
        <f t="shared" si="30"/>
        <v>#REF!</v>
      </c>
      <c r="N118" s="741" t="e">
        <f t="shared" si="66"/>
        <v>#REF!</v>
      </c>
      <c r="O118" s="741" t="e">
        <f>N118*E118</f>
        <v>#REF!</v>
      </c>
    </row>
    <row r="119" spans="1:15" s="298" customFormat="1" ht="17.100000000000001" hidden="1" customHeight="1">
      <c r="A119" s="736" t="e">
        <f t="shared" si="31"/>
        <v>#REF!</v>
      </c>
      <c r="B119" s="296" t="s">
        <v>1383</v>
      </c>
      <c r="C119" s="296" t="s">
        <v>1384</v>
      </c>
      <c r="D119" s="297" t="s">
        <v>2</v>
      </c>
      <c r="E119" s="788"/>
      <c r="F119" s="738" t="e">
        <f>#REF!</f>
        <v>#REF!</v>
      </c>
      <c r="G119" s="738" t="e">
        <f>#REF!</f>
        <v>#REF!</v>
      </c>
      <c r="H119" s="738" t="e">
        <f>#REF!</f>
        <v>#REF!</v>
      </c>
      <c r="I119" s="739" t="e">
        <f>E119*F119</f>
        <v>#REF!</v>
      </c>
      <c r="J119" s="739" t="e">
        <f>E119*G119</f>
        <v>#REF!</v>
      </c>
      <c r="K119" s="740" t="e">
        <f>E119*H119</f>
        <v>#REF!</v>
      </c>
      <c r="L119" s="735" t="e">
        <f t="shared" si="30"/>
        <v>#REF!</v>
      </c>
      <c r="N119" s="741" t="e">
        <f t="shared" si="66"/>
        <v>#REF!</v>
      </c>
      <c r="O119" s="741" t="e">
        <f>N119*E119</f>
        <v>#REF!</v>
      </c>
    </row>
    <row r="120" spans="1:15" s="298" customFormat="1" ht="17.100000000000001" hidden="1" customHeight="1">
      <c r="A120" s="736" t="e">
        <f t="shared" si="31"/>
        <v>#REF!</v>
      </c>
      <c r="B120" s="296" t="s">
        <v>1385</v>
      </c>
      <c r="C120" s="296" t="s">
        <v>1386</v>
      </c>
      <c r="D120" s="297" t="s">
        <v>2</v>
      </c>
      <c r="E120" s="788"/>
      <c r="F120" s="738" t="e">
        <f>#REF!</f>
        <v>#REF!</v>
      </c>
      <c r="G120" s="738" t="e">
        <f>#REF!</f>
        <v>#REF!</v>
      </c>
      <c r="H120" s="738" t="e">
        <f>#REF!</f>
        <v>#REF!</v>
      </c>
      <c r="I120" s="739" t="e">
        <f t="shared" ref="I120:I136" si="68">E120*F120</f>
        <v>#REF!</v>
      </c>
      <c r="J120" s="739" t="e">
        <f t="shared" ref="J120:J136" si="69">E120*G120</f>
        <v>#REF!</v>
      </c>
      <c r="K120" s="740" t="e">
        <f t="shared" ref="K120:K136" si="70">E120*H120</f>
        <v>#REF!</v>
      </c>
      <c r="L120" s="735" t="e">
        <f t="shared" si="30"/>
        <v>#REF!</v>
      </c>
      <c r="N120" s="741" t="e">
        <f t="shared" si="66"/>
        <v>#REF!</v>
      </c>
      <c r="O120" s="741" t="e">
        <f t="shared" si="67"/>
        <v>#REF!</v>
      </c>
    </row>
    <row r="121" spans="1:15" s="298" customFormat="1" ht="17.100000000000001" hidden="1" customHeight="1">
      <c r="A121" s="736" t="e">
        <f t="shared" si="31"/>
        <v>#REF!</v>
      </c>
      <c r="B121" s="296" t="s">
        <v>1296</v>
      </c>
      <c r="C121" s="296" t="s">
        <v>1297</v>
      </c>
      <c r="D121" s="297" t="s">
        <v>2</v>
      </c>
      <c r="E121" s="788"/>
      <c r="F121" s="738"/>
      <c r="G121" s="738"/>
      <c r="H121" s="738" t="e">
        <f>#REF!</f>
        <v>#REF!</v>
      </c>
      <c r="I121" s="739">
        <f t="shared" si="68"/>
        <v>0</v>
      </c>
      <c r="J121" s="739">
        <f t="shared" si="69"/>
        <v>0</v>
      </c>
      <c r="K121" s="740" t="e">
        <f t="shared" si="70"/>
        <v>#REF!</v>
      </c>
      <c r="L121" s="735" t="e">
        <f t="shared" si="30"/>
        <v>#REF!</v>
      </c>
      <c r="N121" s="741" t="e">
        <f t="shared" si="66"/>
        <v>#REF!</v>
      </c>
      <c r="O121" s="741" t="e">
        <f t="shared" si="67"/>
        <v>#REF!</v>
      </c>
    </row>
    <row r="122" spans="1:15" s="298" customFormat="1" ht="17.100000000000001" hidden="1" customHeight="1">
      <c r="A122" s="736" t="e">
        <f t="shared" si="31"/>
        <v>#REF!</v>
      </c>
      <c r="B122" s="296" t="s">
        <v>1387</v>
      </c>
      <c r="C122" s="296" t="s">
        <v>1699</v>
      </c>
      <c r="D122" s="297" t="s">
        <v>9</v>
      </c>
      <c r="E122" s="788"/>
      <c r="F122" s="738" t="e">
        <f>#REF!</f>
        <v>#REF!</v>
      </c>
      <c r="G122" s="738" t="e">
        <f>#REF!</f>
        <v>#REF!</v>
      </c>
      <c r="H122" s="738" t="e">
        <f>#REF!</f>
        <v>#REF!</v>
      </c>
      <c r="I122" s="739" t="e">
        <f t="shared" si="68"/>
        <v>#REF!</v>
      </c>
      <c r="J122" s="739" t="e">
        <f t="shared" si="69"/>
        <v>#REF!</v>
      </c>
      <c r="K122" s="740" t="e">
        <f t="shared" si="70"/>
        <v>#REF!</v>
      </c>
      <c r="L122" s="735" t="e">
        <f t="shared" si="30"/>
        <v>#REF!</v>
      </c>
      <c r="N122" s="741" t="e">
        <f t="shared" si="66"/>
        <v>#REF!</v>
      </c>
      <c r="O122" s="741" t="e">
        <f t="shared" si="67"/>
        <v>#REF!</v>
      </c>
    </row>
    <row r="123" spans="1:15" s="298" customFormat="1" ht="17.100000000000001" hidden="1" customHeight="1">
      <c r="A123" s="736" t="e">
        <f t="shared" si="31"/>
        <v>#REF!</v>
      </c>
      <c r="B123" s="296" t="s">
        <v>1683</v>
      </c>
      <c r="C123" s="296" t="s">
        <v>1700</v>
      </c>
      <c r="D123" s="297" t="s">
        <v>59</v>
      </c>
      <c r="E123" s="788"/>
      <c r="F123" s="738" t="e">
        <f>#REF!</f>
        <v>#REF!</v>
      </c>
      <c r="G123" s="738" t="e">
        <f>#REF!</f>
        <v>#REF!</v>
      </c>
      <c r="H123" s="738" t="e">
        <f>#REF!</f>
        <v>#REF!</v>
      </c>
      <c r="I123" s="739" t="e">
        <f t="shared" si="68"/>
        <v>#REF!</v>
      </c>
      <c r="J123" s="739" t="e">
        <f t="shared" si="69"/>
        <v>#REF!</v>
      </c>
      <c r="K123" s="740" t="e">
        <f t="shared" si="70"/>
        <v>#REF!</v>
      </c>
      <c r="L123" s="735" t="e">
        <f t="shared" si="30"/>
        <v>#REF!</v>
      </c>
      <c r="N123" s="741" t="e">
        <f t="shared" si="66"/>
        <v>#REF!</v>
      </c>
      <c r="O123" s="741" t="e">
        <f t="shared" si="67"/>
        <v>#REF!</v>
      </c>
    </row>
    <row r="124" spans="1:15" s="298" customFormat="1" ht="17.100000000000001" hidden="1" customHeight="1">
      <c r="A124" s="736" t="e">
        <f t="shared" si="31"/>
        <v>#REF!</v>
      </c>
      <c r="B124" s="296" t="s">
        <v>1389</v>
      </c>
      <c r="C124" s="296" t="s">
        <v>1701</v>
      </c>
      <c r="D124" s="297" t="s">
        <v>59</v>
      </c>
      <c r="E124" s="788"/>
      <c r="F124" s="738" t="e">
        <f>#REF!</f>
        <v>#REF!</v>
      </c>
      <c r="G124" s="738" t="e">
        <f>#REF!</f>
        <v>#REF!</v>
      </c>
      <c r="H124" s="738" t="e">
        <f>#REF!</f>
        <v>#REF!</v>
      </c>
      <c r="I124" s="739" t="e">
        <f t="shared" si="68"/>
        <v>#REF!</v>
      </c>
      <c r="J124" s="739" t="e">
        <f t="shared" si="69"/>
        <v>#REF!</v>
      </c>
      <c r="K124" s="740" t="e">
        <f t="shared" si="70"/>
        <v>#REF!</v>
      </c>
      <c r="L124" s="735" t="e">
        <f t="shared" si="30"/>
        <v>#REF!</v>
      </c>
      <c r="N124" s="741" t="e">
        <f t="shared" si="66"/>
        <v>#REF!</v>
      </c>
      <c r="O124" s="741" t="e">
        <f t="shared" si="67"/>
        <v>#REF!</v>
      </c>
    </row>
    <row r="125" spans="1:15" s="298" customFormat="1" ht="17.100000000000001" hidden="1" customHeight="1">
      <c r="A125" s="736" t="e">
        <f t="shared" si="31"/>
        <v>#REF!</v>
      </c>
      <c r="B125" s="296" t="s">
        <v>1391</v>
      </c>
      <c r="C125" s="296" t="s">
        <v>1702</v>
      </c>
      <c r="D125" s="297" t="s">
        <v>59</v>
      </c>
      <c r="E125" s="788"/>
      <c r="F125" s="738" t="e">
        <f>#REF!</f>
        <v>#REF!</v>
      </c>
      <c r="G125" s="738" t="e">
        <f>#REF!</f>
        <v>#REF!</v>
      </c>
      <c r="H125" s="738" t="e">
        <f>#REF!</f>
        <v>#REF!</v>
      </c>
      <c r="I125" s="739" t="e">
        <f t="shared" si="68"/>
        <v>#REF!</v>
      </c>
      <c r="J125" s="739" t="e">
        <f t="shared" si="69"/>
        <v>#REF!</v>
      </c>
      <c r="K125" s="740" t="e">
        <f t="shared" si="70"/>
        <v>#REF!</v>
      </c>
      <c r="L125" s="735" t="e">
        <f t="shared" si="30"/>
        <v>#REF!</v>
      </c>
      <c r="N125" s="741" t="e">
        <f t="shared" si="66"/>
        <v>#REF!</v>
      </c>
      <c r="O125" s="741" t="e">
        <f t="shared" si="67"/>
        <v>#REF!</v>
      </c>
    </row>
    <row r="126" spans="1:15" s="298" customFormat="1" ht="17.100000000000001" hidden="1" customHeight="1">
      <c r="A126" s="736" t="e">
        <f t="shared" si="31"/>
        <v>#REF!</v>
      </c>
      <c r="B126" s="296" t="s">
        <v>71</v>
      </c>
      <c r="C126" s="296" t="s">
        <v>1694</v>
      </c>
      <c r="D126" s="297" t="s">
        <v>9</v>
      </c>
      <c r="E126" s="788"/>
      <c r="F126" s="738" t="e">
        <f>#REF!</f>
        <v>#REF!</v>
      </c>
      <c r="G126" s="738"/>
      <c r="H126" s="738"/>
      <c r="I126" s="739" t="e">
        <f t="shared" si="68"/>
        <v>#REF!</v>
      </c>
      <c r="J126" s="739">
        <f t="shared" si="69"/>
        <v>0</v>
      </c>
      <c r="K126" s="740">
        <f t="shared" si="70"/>
        <v>0</v>
      </c>
      <c r="L126" s="735" t="e">
        <f t="shared" si="30"/>
        <v>#REF!</v>
      </c>
      <c r="N126" s="741" t="e">
        <f t="shared" ref="N126" si="71">SUM(F126:H126)*1.278</f>
        <v>#REF!</v>
      </c>
      <c r="O126" s="741" t="e">
        <f t="shared" si="67"/>
        <v>#REF!</v>
      </c>
    </row>
    <row r="127" spans="1:15" s="298" customFormat="1" ht="17.100000000000001" hidden="1" customHeight="1">
      <c r="A127" s="736" t="e">
        <f t="shared" si="31"/>
        <v>#REF!</v>
      </c>
      <c r="B127" s="296" t="s">
        <v>1691</v>
      </c>
      <c r="C127" s="296" t="s">
        <v>1753</v>
      </c>
      <c r="D127" s="297" t="s">
        <v>310</v>
      </c>
      <c r="E127" s="788"/>
      <c r="F127" s="738" t="e">
        <f>#REF!</f>
        <v>#REF!</v>
      </c>
      <c r="G127" s="738" t="e">
        <f>#REF!</f>
        <v>#REF!</v>
      </c>
      <c r="H127" s="738" t="e">
        <f>#REF!</f>
        <v>#REF!</v>
      </c>
      <c r="I127" s="739" t="e">
        <f t="shared" si="68"/>
        <v>#REF!</v>
      </c>
      <c r="J127" s="739" t="e">
        <f t="shared" si="69"/>
        <v>#REF!</v>
      </c>
      <c r="K127" s="740" t="e">
        <f t="shared" si="70"/>
        <v>#REF!</v>
      </c>
      <c r="L127" s="735" t="e">
        <f t="shared" si="30"/>
        <v>#REF!</v>
      </c>
      <c r="N127" s="741" t="e">
        <f t="shared" ref="N127:N128" si="72">SUM(F127:H127)*1.278</f>
        <v>#REF!</v>
      </c>
      <c r="O127" s="741" t="e">
        <f t="shared" ref="O127:O128" si="73">N127*E127</f>
        <v>#REF!</v>
      </c>
    </row>
    <row r="128" spans="1:15" s="298" customFormat="1" ht="17.100000000000001" hidden="1" customHeight="1">
      <c r="A128" s="736" t="e">
        <f t="shared" si="31"/>
        <v>#REF!</v>
      </c>
      <c r="B128" s="296" t="s">
        <v>1696</v>
      </c>
      <c r="C128" s="296" t="s">
        <v>1751</v>
      </c>
      <c r="D128" s="297" t="s">
        <v>59</v>
      </c>
      <c r="E128" s="788"/>
      <c r="F128" s="738" t="e">
        <f>#REF!</f>
        <v>#REF!</v>
      </c>
      <c r="G128" s="738" t="e">
        <f>#REF!</f>
        <v>#REF!</v>
      </c>
      <c r="H128" s="738" t="e">
        <f>#REF!</f>
        <v>#REF!</v>
      </c>
      <c r="I128" s="739" t="e">
        <f t="shared" si="68"/>
        <v>#REF!</v>
      </c>
      <c r="J128" s="739" t="e">
        <f t="shared" si="69"/>
        <v>#REF!</v>
      </c>
      <c r="K128" s="740" t="e">
        <f t="shared" si="70"/>
        <v>#REF!</v>
      </c>
      <c r="L128" s="735" t="e">
        <f t="shared" si="30"/>
        <v>#REF!</v>
      </c>
      <c r="N128" s="741" t="e">
        <f t="shared" si="72"/>
        <v>#REF!</v>
      </c>
      <c r="O128" s="741" t="e">
        <f t="shared" si="73"/>
        <v>#REF!</v>
      </c>
    </row>
    <row r="129" spans="1:15" s="298" customFormat="1" ht="17.100000000000001" hidden="1" customHeight="1">
      <c r="A129" s="736" t="e">
        <f t="shared" si="31"/>
        <v>#REF!</v>
      </c>
      <c r="B129" s="296" t="s">
        <v>1397</v>
      </c>
      <c r="C129" s="296" t="s">
        <v>1398</v>
      </c>
      <c r="D129" s="297" t="s">
        <v>2</v>
      </c>
      <c r="E129" s="788"/>
      <c r="F129" s="738" t="e">
        <f>#REF!</f>
        <v>#REF!</v>
      </c>
      <c r="G129" s="738" t="e">
        <f>#REF!</f>
        <v>#REF!</v>
      </c>
      <c r="H129" s="738" t="e">
        <f>#REF!</f>
        <v>#REF!</v>
      </c>
      <c r="I129" s="739" t="e">
        <f t="shared" si="68"/>
        <v>#REF!</v>
      </c>
      <c r="J129" s="739" t="e">
        <f t="shared" si="69"/>
        <v>#REF!</v>
      </c>
      <c r="K129" s="740" t="e">
        <f t="shared" si="70"/>
        <v>#REF!</v>
      </c>
      <c r="L129" s="735" t="e">
        <f t="shared" si="30"/>
        <v>#REF!</v>
      </c>
      <c r="N129" s="741" t="e">
        <f t="shared" si="66"/>
        <v>#REF!</v>
      </c>
      <c r="O129" s="741" t="e">
        <f t="shared" si="67"/>
        <v>#REF!</v>
      </c>
    </row>
    <row r="130" spans="1:15" s="298" customFormat="1" ht="17.100000000000001" hidden="1" customHeight="1">
      <c r="A130" s="736" t="e">
        <f t="shared" si="31"/>
        <v>#REF!</v>
      </c>
      <c r="B130" s="296" t="s">
        <v>84</v>
      </c>
      <c r="C130" s="296" t="s">
        <v>816</v>
      </c>
      <c r="D130" s="297" t="s">
        <v>9</v>
      </c>
      <c r="E130" s="788"/>
      <c r="F130" s="738" t="e">
        <f>#REF!</f>
        <v>#REF!</v>
      </c>
      <c r="G130" s="738" t="e">
        <f>#REF!</f>
        <v>#REF!</v>
      </c>
      <c r="H130" s="738" t="e">
        <f>#REF!</f>
        <v>#REF!</v>
      </c>
      <c r="I130" s="739" t="e">
        <f t="shared" si="68"/>
        <v>#REF!</v>
      </c>
      <c r="J130" s="739" t="e">
        <f t="shared" si="69"/>
        <v>#REF!</v>
      </c>
      <c r="K130" s="740" t="e">
        <f t="shared" si="70"/>
        <v>#REF!</v>
      </c>
      <c r="L130" s="735" t="e">
        <f t="shared" si="30"/>
        <v>#REF!</v>
      </c>
      <c r="N130" s="741" t="e">
        <f t="shared" si="66"/>
        <v>#REF!</v>
      </c>
      <c r="O130" s="741" t="e">
        <f t="shared" si="67"/>
        <v>#REF!</v>
      </c>
    </row>
    <row r="131" spans="1:15" s="298" customFormat="1" ht="17.100000000000001" hidden="1" customHeight="1">
      <c r="A131" s="736" t="e">
        <f t="shared" si="31"/>
        <v>#REF!</v>
      </c>
      <c r="B131" s="296"/>
      <c r="C131" s="742" t="s">
        <v>1412</v>
      </c>
      <c r="D131" s="297" t="s">
        <v>0</v>
      </c>
      <c r="E131" s="788"/>
      <c r="F131" s="738"/>
      <c r="G131" s="738"/>
      <c r="H131" s="738"/>
      <c r="I131" s="739">
        <f t="shared" si="68"/>
        <v>0</v>
      </c>
      <c r="J131" s="739">
        <f t="shared" si="69"/>
        <v>0</v>
      </c>
      <c r="K131" s="740">
        <f t="shared" si="70"/>
        <v>0</v>
      </c>
      <c r="L131" s="735">
        <f t="shared" si="30"/>
        <v>0</v>
      </c>
      <c r="N131" s="741">
        <f t="shared" ref="N131:N163" si="74">SUM(F131:H131)*1.278</f>
        <v>0</v>
      </c>
      <c r="O131" s="741">
        <f t="shared" si="36"/>
        <v>0</v>
      </c>
    </row>
    <row r="132" spans="1:15" s="298" customFormat="1" ht="17.100000000000001" hidden="1" customHeight="1">
      <c r="A132" s="736" t="e">
        <f t="shared" si="31"/>
        <v>#REF!</v>
      </c>
      <c r="B132" s="296" t="s">
        <v>599</v>
      </c>
      <c r="C132" s="296" t="s">
        <v>1413</v>
      </c>
      <c r="D132" s="297" t="s">
        <v>2</v>
      </c>
      <c r="E132" s="788"/>
      <c r="F132" s="738" t="e">
        <f>#REF!</f>
        <v>#REF!</v>
      </c>
      <c r="G132" s="738" t="e">
        <f>#REF!</f>
        <v>#REF!</v>
      </c>
      <c r="H132" s="738" t="e">
        <f>#REF!</f>
        <v>#REF!</v>
      </c>
      <c r="I132" s="739" t="e">
        <f t="shared" si="68"/>
        <v>#REF!</v>
      </c>
      <c r="J132" s="739" t="e">
        <f t="shared" si="69"/>
        <v>#REF!</v>
      </c>
      <c r="K132" s="740" t="e">
        <f t="shared" si="70"/>
        <v>#REF!</v>
      </c>
      <c r="L132" s="735" t="e">
        <f t="shared" si="30"/>
        <v>#REF!</v>
      </c>
      <c r="N132" s="741" t="e">
        <f t="shared" si="74"/>
        <v>#REF!</v>
      </c>
      <c r="O132" s="741" t="e">
        <f t="shared" si="36"/>
        <v>#REF!</v>
      </c>
    </row>
    <row r="133" spans="1:15" s="298" customFormat="1" ht="17.100000000000001" hidden="1" customHeight="1">
      <c r="A133" s="736" t="e">
        <f t="shared" si="31"/>
        <v>#REF!</v>
      </c>
      <c r="B133" s="296" t="s">
        <v>38</v>
      </c>
      <c r="C133" s="296" t="s">
        <v>1414</v>
      </c>
      <c r="D133" s="297" t="s">
        <v>9</v>
      </c>
      <c r="E133" s="788"/>
      <c r="F133" s="738" t="e">
        <f>#REF!</f>
        <v>#REF!</v>
      </c>
      <c r="G133" s="738" t="e">
        <f>#REF!</f>
        <v>#REF!</v>
      </c>
      <c r="H133" s="738" t="e">
        <f>#REF!</f>
        <v>#REF!</v>
      </c>
      <c r="I133" s="739" t="e">
        <f t="shared" si="68"/>
        <v>#REF!</v>
      </c>
      <c r="J133" s="739" t="e">
        <f t="shared" si="69"/>
        <v>#REF!</v>
      </c>
      <c r="K133" s="740" t="e">
        <f t="shared" si="70"/>
        <v>#REF!</v>
      </c>
      <c r="L133" s="735" t="e">
        <f t="shared" si="30"/>
        <v>#REF!</v>
      </c>
      <c r="N133" s="741" t="e">
        <f t="shared" si="74"/>
        <v>#REF!</v>
      </c>
      <c r="O133" s="741" t="e">
        <f t="shared" si="36"/>
        <v>#REF!</v>
      </c>
    </row>
    <row r="134" spans="1:15" s="298" customFormat="1" ht="17.100000000000001" hidden="1" customHeight="1">
      <c r="A134" s="736" t="e">
        <f t="shared" si="31"/>
        <v>#REF!</v>
      </c>
      <c r="B134" s="296" t="s">
        <v>62</v>
      </c>
      <c r="C134" s="296" t="s">
        <v>1415</v>
      </c>
      <c r="D134" s="297" t="s">
        <v>59</v>
      </c>
      <c r="E134" s="788"/>
      <c r="F134" s="738" t="e">
        <f>#REF!</f>
        <v>#REF!</v>
      </c>
      <c r="G134" s="738" t="e">
        <f>#REF!</f>
        <v>#REF!</v>
      </c>
      <c r="H134" s="738" t="e">
        <f>#REF!</f>
        <v>#REF!</v>
      </c>
      <c r="I134" s="739" t="e">
        <f t="shared" si="68"/>
        <v>#REF!</v>
      </c>
      <c r="J134" s="739" t="e">
        <f t="shared" si="69"/>
        <v>#REF!</v>
      </c>
      <c r="K134" s="740" t="e">
        <f t="shared" si="70"/>
        <v>#REF!</v>
      </c>
      <c r="L134" s="735" t="e">
        <f t="shared" si="30"/>
        <v>#REF!</v>
      </c>
      <c r="N134" s="741" t="e">
        <f t="shared" si="74"/>
        <v>#REF!</v>
      </c>
      <c r="O134" s="741" t="e">
        <f t="shared" si="36"/>
        <v>#REF!</v>
      </c>
    </row>
    <row r="135" spans="1:15" s="298" customFormat="1" ht="17.100000000000001" hidden="1" customHeight="1">
      <c r="A135" s="736" t="e">
        <f t="shared" si="31"/>
        <v>#REF!</v>
      </c>
      <c r="B135" s="296" t="s">
        <v>663</v>
      </c>
      <c r="C135" s="296" t="s">
        <v>1416</v>
      </c>
      <c r="D135" s="297" t="s">
        <v>59</v>
      </c>
      <c r="E135" s="788"/>
      <c r="F135" s="738" t="e">
        <f>#REF!</f>
        <v>#REF!</v>
      </c>
      <c r="G135" s="738" t="e">
        <f>#REF!</f>
        <v>#REF!</v>
      </c>
      <c r="H135" s="738" t="e">
        <f>#REF!</f>
        <v>#REF!</v>
      </c>
      <c r="I135" s="739" t="e">
        <f t="shared" si="68"/>
        <v>#REF!</v>
      </c>
      <c r="J135" s="739" t="e">
        <f t="shared" si="69"/>
        <v>#REF!</v>
      </c>
      <c r="K135" s="740" t="e">
        <f t="shared" si="70"/>
        <v>#REF!</v>
      </c>
      <c r="L135" s="735" t="e">
        <f t="shared" si="30"/>
        <v>#REF!</v>
      </c>
      <c r="N135" s="741" t="e">
        <f t="shared" si="74"/>
        <v>#REF!</v>
      </c>
      <c r="O135" s="741" t="e">
        <f t="shared" si="36"/>
        <v>#REF!</v>
      </c>
    </row>
    <row r="136" spans="1:15" s="298" customFormat="1" ht="17.100000000000001" hidden="1" customHeight="1">
      <c r="A136" s="736" t="e">
        <f t="shared" si="31"/>
        <v>#REF!</v>
      </c>
      <c r="B136" s="296" t="s">
        <v>766</v>
      </c>
      <c r="C136" s="296" t="s">
        <v>1417</v>
      </c>
      <c r="D136" s="297" t="s">
        <v>59</v>
      </c>
      <c r="E136" s="788"/>
      <c r="F136" s="738" t="e">
        <f>#REF!</f>
        <v>#REF!</v>
      </c>
      <c r="G136" s="738" t="e">
        <f>#REF!</f>
        <v>#REF!</v>
      </c>
      <c r="H136" s="738" t="e">
        <f>#REF!</f>
        <v>#REF!</v>
      </c>
      <c r="I136" s="739" t="e">
        <f t="shared" si="68"/>
        <v>#REF!</v>
      </c>
      <c r="J136" s="739" t="e">
        <f t="shared" si="69"/>
        <v>#REF!</v>
      </c>
      <c r="K136" s="740" t="e">
        <f t="shared" si="70"/>
        <v>#REF!</v>
      </c>
      <c r="L136" s="735" t="e">
        <f t="shared" si="30"/>
        <v>#REF!</v>
      </c>
      <c r="N136" s="741" t="e">
        <f t="shared" si="74"/>
        <v>#REF!</v>
      </c>
      <c r="O136" s="741" t="e">
        <f t="shared" si="36"/>
        <v>#REF!</v>
      </c>
    </row>
    <row r="137" spans="1:15" s="298" customFormat="1" ht="17.100000000000001" hidden="1" customHeight="1">
      <c r="A137" s="736" t="e">
        <f t="shared" si="31"/>
        <v>#REF!</v>
      </c>
      <c r="B137" s="744" t="s">
        <v>1418</v>
      </c>
      <c r="C137" s="744" t="s">
        <v>1419</v>
      </c>
      <c r="D137" s="745" t="s">
        <v>2</v>
      </c>
      <c r="E137" s="820"/>
      <c r="F137" s="746" t="e">
        <f>#REF!</f>
        <v>#REF!</v>
      </c>
      <c r="G137" s="746" t="e">
        <f>#REF!</f>
        <v>#REF!</v>
      </c>
      <c r="H137" s="746" t="e">
        <f>#REF!</f>
        <v>#REF!</v>
      </c>
      <c r="I137" s="747" t="e">
        <f t="shared" ref="I137" si="75">E137*F137</f>
        <v>#REF!</v>
      </c>
      <c r="J137" s="747" t="e">
        <f t="shared" ref="J137" si="76">E137*G137</f>
        <v>#REF!</v>
      </c>
      <c r="K137" s="748" t="e">
        <f t="shared" ref="K137" si="77">E137*H137</f>
        <v>#REF!</v>
      </c>
      <c r="L137" s="735" t="e">
        <f t="shared" si="30"/>
        <v>#REF!</v>
      </c>
      <c r="N137" s="741" t="e">
        <f t="shared" si="74"/>
        <v>#REF!</v>
      </c>
      <c r="O137" s="741" t="e">
        <f t="shared" si="36"/>
        <v>#REF!</v>
      </c>
    </row>
    <row r="138" spans="1:15" s="298" customFormat="1" ht="17.100000000000001" hidden="1" customHeight="1">
      <c r="A138" s="736" t="e">
        <f t="shared" ref="A138:A201" si="78">IF(SUM(F138:H138)&lt;&gt;0,A137+L138,A137)</f>
        <v>#REF!</v>
      </c>
      <c r="B138" s="758" t="s">
        <v>0</v>
      </c>
      <c r="C138" s="730" t="s">
        <v>1739</v>
      </c>
      <c r="D138" s="774" t="s">
        <v>0</v>
      </c>
      <c r="E138" s="821"/>
      <c r="F138" s="760"/>
      <c r="G138" s="760"/>
      <c r="H138" s="760"/>
      <c r="I138" s="733" t="e">
        <f>SUM(I139:I246)</f>
        <v>#REF!</v>
      </c>
      <c r="J138" s="733" t="e">
        <f>SUM(J139:J246)</f>
        <v>#REF!</v>
      </c>
      <c r="K138" s="734" t="e">
        <f>SUM(K139:K246)</f>
        <v>#REF!</v>
      </c>
      <c r="L138" s="735" t="e">
        <f t="shared" ref="L138:L201" si="79">IF(OR(SUM(I138:K138)&lt;&gt;0,B138="*"),$L$5,0)</f>
        <v>#REF!</v>
      </c>
      <c r="N138" s="741">
        <f t="shared" si="74"/>
        <v>0</v>
      </c>
      <c r="O138" s="741">
        <f t="shared" si="36"/>
        <v>0</v>
      </c>
    </row>
    <row r="139" spans="1:15" s="298" customFormat="1" ht="17.100000000000001" hidden="1" customHeight="1">
      <c r="A139" s="736" t="e">
        <f t="shared" si="78"/>
        <v>#REF!</v>
      </c>
      <c r="B139" s="296"/>
      <c r="C139" s="742" t="s">
        <v>1723</v>
      </c>
      <c r="D139" s="297" t="s">
        <v>0</v>
      </c>
      <c r="E139" s="788"/>
      <c r="F139" s="738"/>
      <c r="G139" s="738"/>
      <c r="H139" s="738"/>
      <c r="I139" s="739"/>
      <c r="J139" s="739"/>
      <c r="K139" s="740"/>
      <c r="L139" s="735">
        <f t="shared" si="79"/>
        <v>0</v>
      </c>
      <c r="N139" s="741">
        <f t="shared" si="74"/>
        <v>0</v>
      </c>
      <c r="O139" s="741">
        <f t="shared" si="36"/>
        <v>0</v>
      </c>
    </row>
    <row r="140" spans="1:15" s="298" customFormat="1" ht="17.100000000000001" hidden="1" customHeight="1">
      <c r="A140" s="736" t="e">
        <f t="shared" si="78"/>
        <v>#REF!</v>
      </c>
      <c r="B140" s="296" t="s">
        <v>1420</v>
      </c>
      <c r="C140" s="296" t="s">
        <v>1421</v>
      </c>
      <c r="D140" s="297" t="s">
        <v>2</v>
      </c>
      <c r="E140" s="788"/>
      <c r="F140" s="738"/>
      <c r="G140" s="738" t="e">
        <f>#REF!</f>
        <v>#REF!</v>
      </c>
      <c r="H140" s="738" t="e">
        <f>#REF!</f>
        <v>#REF!</v>
      </c>
      <c r="I140" s="739">
        <f>E140*F140</f>
        <v>0</v>
      </c>
      <c r="J140" s="739" t="e">
        <f>E140*G140</f>
        <v>#REF!</v>
      </c>
      <c r="K140" s="740" t="e">
        <f>E140*H140</f>
        <v>#REF!</v>
      </c>
      <c r="L140" s="735" t="e">
        <f t="shared" si="79"/>
        <v>#REF!</v>
      </c>
      <c r="N140" s="741" t="e">
        <f t="shared" si="74"/>
        <v>#REF!</v>
      </c>
      <c r="O140" s="741" t="e">
        <f t="shared" si="36"/>
        <v>#REF!</v>
      </c>
    </row>
    <row r="141" spans="1:15" s="298" customFormat="1" ht="17.100000000000001" hidden="1" customHeight="1">
      <c r="A141" s="736" t="e">
        <f t="shared" si="78"/>
        <v>#REF!</v>
      </c>
      <c r="B141" s="296" t="s">
        <v>1422</v>
      </c>
      <c r="C141" s="296" t="s">
        <v>1423</v>
      </c>
      <c r="D141" s="297" t="s">
        <v>2</v>
      </c>
      <c r="E141" s="788"/>
      <c r="F141" s="738"/>
      <c r="G141" s="738" t="e">
        <f>#REF!</f>
        <v>#REF!</v>
      </c>
      <c r="H141" s="738" t="e">
        <f>#REF!</f>
        <v>#REF!</v>
      </c>
      <c r="I141" s="739">
        <f t="shared" ref="I141:I142" si="80">E141*F141</f>
        <v>0</v>
      </c>
      <c r="J141" s="739" t="e">
        <f t="shared" ref="J141:J142" si="81">E141*G141</f>
        <v>#REF!</v>
      </c>
      <c r="K141" s="740" t="e">
        <f t="shared" ref="K141:K142" si="82">E141*H141</f>
        <v>#REF!</v>
      </c>
      <c r="L141" s="735" t="e">
        <f t="shared" si="79"/>
        <v>#REF!</v>
      </c>
      <c r="N141" s="741" t="e">
        <f t="shared" si="74"/>
        <v>#REF!</v>
      </c>
      <c r="O141" s="741" t="e">
        <f t="shared" si="36"/>
        <v>#REF!</v>
      </c>
    </row>
    <row r="142" spans="1:15" s="298" customFormat="1" ht="17.100000000000001" hidden="1" customHeight="1">
      <c r="A142" s="736" t="e">
        <f t="shared" si="78"/>
        <v>#REF!</v>
      </c>
      <c r="B142" s="296" t="s">
        <v>600</v>
      </c>
      <c r="C142" s="296" t="s">
        <v>1424</v>
      </c>
      <c r="D142" s="297" t="s">
        <v>2</v>
      </c>
      <c r="E142" s="788"/>
      <c r="F142" s="738" t="e">
        <f>#REF!</f>
        <v>#REF!</v>
      </c>
      <c r="G142" s="738"/>
      <c r="H142" s="738"/>
      <c r="I142" s="739" t="e">
        <f t="shared" si="80"/>
        <v>#REF!</v>
      </c>
      <c r="J142" s="739">
        <f t="shared" si="81"/>
        <v>0</v>
      </c>
      <c r="K142" s="740">
        <f t="shared" si="82"/>
        <v>0</v>
      </c>
      <c r="L142" s="735" t="e">
        <f t="shared" si="79"/>
        <v>#REF!</v>
      </c>
      <c r="N142" s="741" t="e">
        <f t="shared" si="74"/>
        <v>#REF!</v>
      </c>
      <c r="O142" s="741" t="e">
        <f t="shared" si="36"/>
        <v>#REF!</v>
      </c>
    </row>
    <row r="143" spans="1:15" s="298" customFormat="1" ht="17.100000000000001" hidden="1" customHeight="1">
      <c r="A143" s="736" t="e">
        <f t="shared" si="78"/>
        <v>#REF!</v>
      </c>
      <c r="B143" s="296" t="s">
        <v>1425</v>
      </c>
      <c r="C143" s="296" t="s">
        <v>1426</v>
      </c>
      <c r="D143" s="297" t="s">
        <v>2</v>
      </c>
      <c r="E143" s="788"/>
      <c r="F143" s="738"/>
      <c r="G143" s="738"/>
      <c r="H143" s="738" t="e">
        <f>#REF!</f>
        <v>#REF!</v>
      </c>
      <c r="I143" s="739">
        <f>E143*F143</f>
        <v>0</v>
      </c>
      <c r="J143" s="739">
        <f>E143*G143</f>
        <v>0</v>
      </c>
      <c r="K143" s="740" t="e">
        <f>E143*H143</f>
        <v>#REF!</v>
      </c>
      <c r="L143" s="735" t="e">
        <f t="shared" si="79"/>
        <v>#REF!</v>
      </c>
      <c r="N143" s="741" t="e">
        <f t="shared" si="74"/>
        <v>#REF!</v>
      </c>
      <c r="O143" s="741" t="e">
        <f t="shared" si="36"/>
        <v>#REF!</v>
      </c>
    </row>
    <row r="144" spans="1:15" s="298" customFormat="1" ht="17.100000000000001" hidden="1" customHeight="1">
      <c r="A144" s="736" t="e">
        <f t="shared" si="78"/>
        <v>#REF!</v>
      </c>
      <c r="B144" s="296"/>
      <c r="C144" s="742" t="s">
        <v>1724</v>
      </c>
      <c r="D144" s="297" t="s">
        <v>0</v>
      </c>
      <c r="E144" s="788"/>
      <c r="F144" s="738"/>
      <c r="G144" s="738"/>
      <c r="H144" s="738"/>
      <c r="I144" s="739">
        <f t="shared" ref="I144:I147" si="83">E144*F144</f>
        <v>0</v>
      </c>
      <c r="J144" s="739">
        <f t="shared" ref="J144:J147" si="84">E144*G144</f>
        <v>0</v>
      </c>
      <c r="K144" s="740">
        <f t="shared" ref="K144:K147" si="85">E144*H144</f>
        <v>0</v>
      </c>
      <c r="L144" s="735">
        <f t="shared" si="79"/>
        <v>0</v>
      </c>
      <c r="N144" s="741">
        <f t="shared" si="74"/>
        <v>0</v>
      </c>
      <c r="O144" s="741">
        <f t="shared" si="36"/>
        <v>0</v>
      </c>
    </row>
    <row r="145" spans="1:15" s="298" customFormat="1" ht="17.100000000000001" hidden="1" customHeight="1">
      <c r="A145" s="736" t="e">
        <f t="shared" si="78"/>
        <v>#REF!</v>
      </c>
      <c r="B145" s="296" t="s">
        <v>550</v>
      </c>
      <c r="C145" s="296" t="s">
        <v>1754</v>
      </c>
      <c r="D145" s="297" t="s">
        <v>2</v>
      </c>
      <c r="E145" s="788"/>
      <c r="F145" s="738"/>
      <c r="G145" s="738" t="e">
        <f>#REF!</f>
        <v>#REF!</v>
      </c>
      <c r="H145" s="738" t="e">
        <f>#REF!</f>
        <v>#REF!</v>
      </c>
      <c r="I145" s="739">
        <f t="shared" si="83"/>
        <v>0</v>
      </c>
      <c r="J145" s="739" t="e">
        <f t="shared" si="84"/>
        <v>#REF!</v>
      </c>
      <c r="K145" s="740" t="e">
        <f t="shared" si="85"/>
        <v>#REF!</v>
      </c>
      <c r="L145" s="735" t="e">
        <f t="shared" si="79"/>
        <v>#REF!</v>
      </c>
      <c r="N145" s="741" t="e">
        <f t="shared" si="74"/>
        <v>#REF!</v>
      </c>
      <c r="O145" s="741" t="e">
        <f t="shared" si="36"/>
        <v>#REF!</v>
      </c>
    </row>
    <row r="146" spans="1:15" s="298" customFormat="1" ht="17.100000000000001" hidden="1" customHeight="1">
      <c r="A146" s="736" t="e">
        <f t="shared" si="78"/>
        <v>#REF!</v>
      </c>
      <c r="B146" s="296" t="s">
        <v>600</v>
      </c>
      <c r="C146" s="296" t="s">
        <v>1755</v>
      </c>
      <c r="D146" s="297" t="s">
        <v>2</v>
      </c>
      <c r="E146" s="788"/>
      <c r="F146" s="738" t="e">
        <f>#REF!</f>
        <v>#REF!</v>
      </c>
      <c r="G146" s="738"/>
      <c r="H146" s="738"/>
      <c r="I146" s="739" t="e">
        <f t="shared" si="83"/>
        <v>#REF!</v>
      </c>
      <c r="J146" s="739">
        <f t="shared" si="84"/>
        <v>0</v>
      </c>
      <c r="K146" s="740">
        <f t="shared" si="85"/>
        <v>0</v>
      </c>
      <c r="L146" s="735" t="e">
        <f t="shared" si="79"/>
        <v>#REF!</v>
      </c>
      <c r="N146" s="741" t="e">
        <f t="shared" si="74"/>
        <v>#REF!</v>
      </c>
      <c r="O146" s="741" t="e">
        <f t="shared" si="36"/>
        <v>#REF!</v>
      </c>
    </row>
    <row r="147" spans="1:15" s="298" customFormat="1" ht="17.100000000000001" hidden="1" customHeight="1">
      <c r="A147" s="736" t="e">
        <f t="shared" si="78"/>
        <v>#REF!</v>
      </c>
      <c r="B147" s="296" t="s">
        <v>573</v>
      </c>
      <c r="C147" s="296" t="s">
        <v>1427</v>
      </c>
      <c r="D147" s="297" t="s">
        <v>2</v>
      </c>
      <c r="E147" s="788"/>
      <c r="F147" s="738" t="e">
        <f>#REF!</f>
        <v>#REF!</v>
      </c>
      <c r="G147" s="738" t="e">
        <f>#REF!</f>
        <v>#REF!</v>
      </c>
      <c r="H147" s="738"/>
      <c r="I147" s="739" t="e">
        <f t="shared" si="83"/>
        <v>#REF!</v>
      </c>
      <c r="J147" s="739" t="e">
        <f t="shared" si="84"/>
        <v>#REF!</v>
      </c>
      <c r="K147" s="740">
        <f t="shared" si="85"/>
        <v>0</v>
      </c>
      <c r="L147" s="735" t="e">
        <f t="shared" si="79"/>
        <v>#REF!</v>
      </c>
      <c r="N147" s="741" t="e">
        <f t="shared" si="74"/>
        <v>#REF!</v>
      </c>
      <c r="O147" s="741" t="e">
        <f t="shared" si="36"/>
        <v>#REF!</v>
      </c>
    </row>
    <row r="148" spans="1:15" s="298" customFormat="1" ht="17.100000000000001" hidden="1" customHeight="1">
      <c r="A148" s="736" t="e">
        <f t="shared" si="78"/>
        <v>#REF!</v>
      </c>
      <c r="B148" s="296" t="s">
        <v>1418</v>
      </c>
      <c r="C148" s="296" t="s">
        <v>1428</v>
      </c>
      <c r="D148" s="297" t="s">
        <v>2</v>
      </c>
      <c r="E148" s="788"/>
      <c r="F148" s="738" t="e">
        <f>#REF!</f>
        <v>#REF!</v>
      </c>
      <c r="G148" s="738" t="e">
        <f>#REF!</f>
        <v>#REF!</v>
      </c>
      <c r="H148" s="738" t="e">
        <f>#REF!</f>
        <v>#REF!</v>
      </c>
      <c r="I148" s="739" t="e">
        <f t="shared" ref="I148:I155" si="86">E148*F148</f>
        <v>#REF!</v>
      </c>
      <c r="J148" s="739" t="e">
        <f t="shared" ref="J148:J155" si="87">E148*G148</f>
        <v>#REF!</v>
      </c>
      <c r="K148" s="740" t="e">
        <f t="shared" ref="K148:K155" si="88">E148*H148</f>
        <v>#REF!</v>
      </c>
      <c r="L148" s="735" t="e">
        <f t="shared" si="79"/>
        <v>#REF!</v>
      </c>
      <c r="N148" s="741" t="e">
        <f t="shared" si="74"/>
        <v>#REF!</v>
      </c>
      <c r="O148" s="741" t="e">
        <f t="shared" si="36"/>
        <v>#REF!</v>
      </c>
    </row>
    <row r="149" spans="1:15" s="298" customFormat="1" ht="17.100000000000001" hidden="1" customHeight="1">
      <c r="A149" s="736" t="e">
        <f t="shared" si="78"/>
        <v>#REF!</v>
      </c>
      <c r="B149" s="296" t="s">
        <v>22</v>
      </c>
      <c r="C149" s="296" t="s">
        <v>1429</v>
      </c>
      <c r="D149" s="297" t="s">
        <v>2</v>
      </c>
      <c r="E149" s="788"/>
      <c r="F149" s="738" t="e">
        <f>#REF!</f>
        <v>#REF!</v>
      </c>
      <c r="G149" s="738" t="e">
        <f>#REF!</f>
        <v>#REF!</v>
      </c>
      <c r="H149" s="738" t="e">
        <f>#REF!</f>
        <v>#REF!</v>
      </c>
      <c r="I149" s="739" t="e">
        <f t="shared" si="86"/>
        <v>#REF!</v>
      </c>
      <c r="J149" s="739" t="e">
        <f t="shared" si="87"/>
        <v>#REF!</v>
      </c>
      <c r="K149" s="740" t="e">
        <f t="shared" si="88"/>
        <v>#REF!</v>
      </c>
      <c r="L149" s="735" t="e">
        <f t="shared" si="79"/>
        <v>#REF!</v>
      </c>
      <c r="N149" s="741" t="e">
        <f t="shared" si="74"/>
        <v>#REF!</v>
      </c>
      <c r="O149" s="741" t="e">
        <f t="shared" si="36"/>
        <v>#REF!</v>
      </c>
    </row>
    <row r="150" spans="1:15" s="298" customFormat="1" ht="17.100000000000001" hidden="1" customHeight="1">
      <c r="A150" s="736" t="e">
        <f t="shared" si="78"/>
        <v>#REF!</v>
      </c>
      <c r="B150" s="296" t="s">
        <v>1430</v>
      </c>
      <c r="C150" s="296" t="s">
        <v>1431</v>
      </c>
      <c r="D150" s="297" t="s">
        <v>2</v>
      </c>
      <c r="E150" s="788"/>
      <c r="F150" s="738" t="e">
        <f>#REF!</f>
        <v>#REF!</v>
      </c>
      <c r="G150" s="738" t="e">
        <f>#REF!</f>
        <v>#REF!</v>
      </c>
      <c r="H150" s="738" t="e">
        <f>#REF!</f>
        <v>#REF!</v>
      </c>
      <c r="I150" s="739" t="e">
        <f t="shared" si="86"/>
        <v>#REF!</v>
      </c>
      <c r="J150" s="739" t="e">
        <f t="shared" si="87"/>
        <v>#REF!</v>
      </c>
      <c r="K150" s="740" t="e">
        <f t="shared" si="88"/>
        <v>#REF!</v>
      </c>
      <c r="L150" s="735" t="e">
        <f t="shared" si="79"/>
        <v>#REF!</v>
      </c>
      <c r="N150" s="741" t="e">
        <f t="shared" si="74"/>
        <v>#REF!</v>
      </c>
      <c r="O150" s="741" t="e">
        <f t="shared" si="36"/>
        <v>#REF!</v>
      </c>
    </row>
    <row r="151" spans="1:15" s="298" customFormat="1" ht="17.100000000000001" hidden="1" customHeight="1">
      <c r="A151" s="736" t="e">
        <f t="shared" si="78"/>
        <v>#REF!</v>
      </c>
      <c r="B151" s="296" t="s">
        <v>84</v>
      </c>
      <c r="C151" s="296" t="s">
        <v>85</v>
      </c>
      <c r="D151" s="297" t="s">
        <v>9</v>
      </c>
      <c r="E151" s="788"/>
      <c r="F151" s="738" t="e">
        <f>#REF!</f>
        <v>#REF!</v>
      </c>
      <c r="G151" s="738" t="e">
        <f>#REF!</f>
        <v>#REF!</v>
      </c>
      <c r="H151" s="738" t="e">
        <f>#REF!</f>
        <v>#REF!</v>
      </c>
      <c r="I151" s="739" t="e">
        <f t="shared" si="86"/>
        <v>#REF!</v>
      </c>
      <c r="J151" s="739" t="e">
        <f t="shared" si="87"/>
        <v>#REF!</v>
      </c>
      <c r="K151" s="740" t="e">
        <f t="shared" si="88"/>
        <v>#REF!</v>
      </c>
      <c r="L151" s="735" t="e">
        <f t="shared" si="79"/>
        <v>#REF!</v>
      </c>
      <c r="N151" s="741" t="e">
        <f t="shared" si="74"/>
        <v>#REF!</v>
      </c>
      <c r="O151" s="741" t="e">
        <f t="shared" si="36"/>
        <v>#REF!</v>
      </c>
    </row>
    <row r="152" spans="1:15" s="298" customFormat="1" ht="17.100000000000001" hidden="1" customHeight="1">
      <c r="A152" s="736" t="e">
        <f t="shared" si="78"/>
        <v>#REF!</v>
      </c>
      <c r="B152" s="296" t="s">
        <v>663</v>
      </c>
      <c r="C152" s="296" t="s">
        <v>1432</v>
      </c>
      <c r="D152" s="297" t="s">
        <v>59</v>
      </c>
      <c r="E152" s="788"/>
      <c r="F152" s="738" t="e">
        <f>#REF!</f>
        <v>#REF!</v>
      </c>
      <c r="G152" s="738" t="e">
        <f>#REF!</f>
        <v>#REF!</v>
      </c>
      <c r="H152" s="738" t="e">
        <f>#REF!</f>
        <v>#REF!</v>
      </c>
      <c r="I152" s="739" t="e">
        <f t="shared" si="86"/>
        <v>#REF!</v>
      </c>
      <c r="J152" s="739" t="e">
        <f t="shared" si="87"/>
        <v>#REF!</v>
      </c>
      <c r="K152" s="740" t="e">
        <f t="shared" si="88"/>
        <v>#REF!</v>
      </c>
      <c r="L152" s="735" t="e">
        <f t="shared" si="79"/>
        <v>#REF!</v>
      </c>
      <c r="N152" s="741" t="e">
        <f t="shared" si="74"/>
        <v>#REF!</v>
      </c>
      <c r="O152" s="741" t="e">
        <f t="shared" si="36"/>
        <v>#REF!</v>
      </c>
    </row>
    <row r="153" spans="1:15" s="831" customFormat="1" ht="28.5" hidden="1">
      <c r="A153" s="736" t="e">
        <f t="shared" si="78"/>
        <v>#REF!</v>
      </c>
      <c r="B153" s="827" t="s">
        <v>1433</v>
      </c>
      <c r="C153" s="836" t="s">
        <v>1743</v>
      </c>
      <c r="D153" s="828" t="s">
        <v>59</v>
      </c>
      <c r="E153" s="829"/>
      <c r="F153" s="830" t="e">
        <f>#REF!</f>
        <v>#REF!</v>
      </c>
      <c r="G153" s="830" t="e">
        <f>#REF!</f>
        <v>#REF!</v>
      </c>
      <c r="H153" s="830" t="e">
        <f>#REF!</f>
        <v>#REF!</v>
      </c>
      <c r="I153" s="739" t="e">
        <f t="shared" si="86"/>
        <v>#REF!</v>
      </c>
      <c r="J153" s="739" t="e">
        <f t="shared" si="87"/>
        <v>#REF!</v>
      </c>
      <c r="K153" s="740" t="e">
        <f t="shared" si="88"/>
        <v>#REF!</v>
      </c>
      <c r="L153" s="735" t="e">
        <f t="shared" si="79"/>
        <v>#REF!</v>
      </c>
      <c r="N153" s="832" t="e">
        <f t="shared" si="74"/>
        <v>#REF!</v>
      </c>
      <c r="O153" s="832" t="e">
        <f t="shared" si="36"/>
        <v>#REF!</v>
      </c>
    </row>
    <row r="154" spans="1:15" s="298" customFormat="1" ht="17.100000000000001" hidden="1" customHeight="1">
      <c r="A154" s="736" t="e">
        <f t="shared" si="78"/>
        <v>#REF!</v>
      </c>
      <c r="B154" s="296" t="s">
        <v>1434</v>
      </c>
      <c r="C154" s="296" t="s">
        <v>1435</v>
      </c>
      <c r="D154" s="297" t="s">
        <v>59</v>
      </c>
      <c r="E154" s="788"/>
      <c r="F154" s="738" t="e">
        <f>#REF!</f>
        <v>#REF!</v>
      </c>
      <c r="G154" s="738" t="e">
        <f>#REF!</f>
        <v>#REF!</v>
      </c>
      <c r="H154" s="738" t="e">
        <f>#REF!</f>
        <v>#REF!</v>
      </c>
      <c r="I154" s="739" t="e">
        <f t="shared" si="86"/>
        <v>#REF!</v>
      </c>
      <c r="J154" s="739" t="e">
        <f t="shared" si="87"/>
        <v>#REF!</v>
      </c>
      <c r="K154" s="740" t="e">
        <f t="shared" si="88"/>
        <v>#REF!</v>
      </c>
      <c r="L154" s="735" t="e">
        <f t="shared" si="79"/>
        <v>#REF!</v>
      </c>
      <c r="N154" s="741" t="e">
        <f t="shared" si="74"/>
        <v>#REF!</v>
      </c>
      <c r="O154" s="741" t="e">
        <f t="shared" si="36"/>
        <v>#REF!</v>
      </c>
    </row>
    <row r="155" spans="1:15" s="298" customFormat="1" ht="17.100000000000001" hidden="1" customHeight="1">
      <c r="A155" s="736" t="e">
        <f t="shared" si="78"/>
        <v>#REF!</v>
      </c>
      <c r="B155" s="296" t="s">
        <v>1436</v>
      </c>
      <c r="C155" s="296" t="s">
        <v>1437</v>
      </c>
      <c r="D155" s="297" t="s">
        <v>59</v>
      </c>
      <c r="E155" s="788"/>
      <c r="F155" s="738" t="e">
        <f>#REF!</f>
        <v>#REF!</v>
      </c>
      <c r="G155" s="738" t="e">
        <f>#REF!</f>
        <v>#REF!</v>
      </c>
      <c r="H155" s="738" t="e">
        <f>#REF!</f>
        <v>#REF!</v>
      </c>
      <c r="I155" s="739" t="e">
        <f t="shared" si="86"/>
        <v>#REF!</v>
      </c>
      <c r="J155" s="739" t="e">
        <f t="shared" si="87"/>
        <v>#REF!</v>
      </c>
      <c r="K155" s="740" t="e">
        <f t="shared" si="88"/>
        <v>#REF!</v>
      </c>
      <c r="L155" s="735" t="e">
        <f t="shared" si="79"/>
        <v>#REF!</v>
      </c>
      <c r="N155" s="741" t="e">
        <f t="shared" si="74"/>
        <v>#REF!</v>
      </c>
      <c r="O155" s="741" t="e">
        <f t="shared" si="36"/>
        <v>#REF!</v>
      </c>
    </row>
    <row r="156" spans="1:15" s="298" customFormat="1" ht="17.100000000000001" hidden="1" customHeight="1">
      <c r="A156" s="736" t="e">
        <f t="shared" si="78"/>
        <v>#REF!</v>
      </c>
      <c r="B156" s="296" t="s">
        <v>1438</v>
      </c>
      <c r="C156" s="296" t="s">
        <v>1439</v>
      </c>
      <c r="D156" s="297" t="s">
        <v>2</v>
      </c>
      <c r="E156" s="788"/>
      <c r="F156" s="738" t="e">
        <f>#REF!</f>
        <v>#REF!</v>
      </c>
      <c r="G156" s="738" t="e">
        <f>#REF!</f>
        <v>#REF!</v>
      </c>
      <c r="H156" s="738" t="e">
        <f>#REF!</f>
        <v>#REF!</v>
      </c>
      <c r="I156" s="739" t="e">
        <f>E156*F156</f>
        <v>#REF!</v>
      </c>
      <c r="J156" s="739" t="e">
        <f>E156*G156</f>
        <v>#REF!</v>
      </c>
      <c r="K156" s="740" t="e">
        <f>E156*H156</f>
        <v>#REF!</v>
      </c>
      <c r="L156" s="735" t="e">
        <f t="shared" si="79"/>
        <v>#REF!</v>
      </c>
      <c r="N156" s="741" t="e">
        <f t="shared" si="74"/>
        <v>#REF!</v>
      </c>
      <c r="O156" s="741" t="e">
        <f t="shared" si="36"/>
        <v>#REF!</v>
      </c>
    </row>
    <row r="157" spans="1:15" s="298" customFormat="1" ht="17.100000000000001" hidden="1" customHeight="1">
      <c r="A157" s="736" t="e">
        <f t="shared" si="78"/>
        <v>#REF!</v>
      </c>
      <c r="B157" s="296"/>
      <c r="C157" s="742" t="s">
        <v>1725</v>
      </c>
      <c r="D157" s="297" t="s">
        <v>0</v>
      </c>
      <c r="E157" s="788"/>
      <c r="F157" s="738"/>
      <c r="G157" s="738"/>
      <c r="H157" s="738"/>
      <c r="I157" s="739">
        <f>E157*F157</f>
        <v>0</v>
      </c>
      <c r="J157" s="739">
        <f>E157*G157</f>
        <v>0</v>
      </c>
      <c r="K157" s="740">
        <f>E157*H157</f>
        <v>0</v>
      </c>
      <c r="L157" s="735">
        <f t="shared" si="79"/>
        <v>0</v>
      </c>
      <c r="N157" s="741">
        <f t="shared" si="74"/>
        <v>0</v>
      </c>
      <c r="O157" s="741">
        <f t="shared" si="36"/>
        <v>0</v>
      </c>
    </row>
    <row r="158" spans="1:15" s="298" customFormat="1" ht="17.100000000000001" hidden="1" customHeight="1">
      <c r="A158" s="736" t="e">
        <f t="shared" si="78"/>
        <v>#REF!</v>
      </c>
      <c r="B158" s="296" t="s">
        <v>1440</v>
      </c>
      <c r="C158" s="296" t="s">
        <v>1441</v>
      </c>
      <c r="D158" s="297" t="s">
        <v>2</v>
      </c>
      <c r="E158" s="788"/>
      <c r="F158" s="738"/>
      <c r="G158" s="738" t="e">
        <f>#REF!</f>
        <v>#REF!</v>
      </c>
      <c r="H158" s="738" t="e">
        <f>#REF!</f>
        <v>#REF!</v>
      </c>
      <c r="I158" s="739">
        <f t="shared" ref="I158:I184" si="89">E158*F158</f>
        <v>0</v>
      </c>
      <c r="J158" s="739" t="e">
        <f t="shared" ref="J158:J184" si="90">E158*G158</f>
        <v>#REF!</v>
      </c>
      <c r="K158" s="740" t="e">
        <f t="shared" ref="K158:K184" si="91">E158*H158</f>
        <v>#REF!</v>
      </c>
      <c r="L158" s="735" t="e">
        <f t="shared" si="79"/>
        <v>#REF!</v>
      </c>
      <c r="N158" s="741" t="e">
        <f t="shared" si="74"/>
        <v>#REF!</v>
      </c>
      <c r="O158" s="741" t="e">
        <f t="shared" si="36"/>
        <v>#REF!</v>
      </c>
    </row>
    <row r="159" spans="1:15" s="298" customFormat="1" ht="17.100000000000001" hidden="1" customHeight="1">
      <c r="A159" s="736" t="e">
        <f t="shared" si="78"/>
        <v>#REF!</v>
      </c>
      <c r="B159" s="296" t="s">
        <v>1442</v>
      </c>
      <c r="C159" s="296" t="s">
        <v>1703</v>
      </c>
      <c r="D159" s="297" t="s">
        <v>2</v>
      </c>
      <c r="E159" s="788"/>
      <c r="F159" s="738"/>
      <c r="G159" s="738" t="e">
        <f>#REF!</f>
        <v>#REF!</v>
      </c>
      <c r="H159" s="738"/>
      <c r="I159" s="739">
        <f t="shared" si="89"/>
        <v>0</v>
      </c>
      <c r="J159" s="739" t="e">
        <f t="shared" si="90"/>
        <v>#REF!</v>
      </c>
      <c r="K159" s="740">
        <f t="shared" si="91"/>
        <v>0</v>
      </c>
      <c r="L159" s="735" t="e">
        <f t="shared" si="79"/>
        <v>#REF!</v>
      </c>
      <c r="N159" s="741" t="e">
        <f t="shared" si="74"/>
        <v>#REF!</v>
      </c>
      <c r="O159" s="741" t="e">
        <f t="shared" si="36"/>
        <v>#REF!</v>
      </c>
    </row>
    <row r="160" spans="1:15" s="298" customFormat="1" ht="17.100000000000001" hidden="1" customHeight="1">
      <c r="A160" s="736" t="e">
        <f t="shared" si="78"/>
        <v>#REF!</v>
      </c>
      <c r="B160" s="296" t="s">
        <v>861</v>
      </c>
      <c r="C160" s="296" t="s">
        <v>1704</v>
      </c>
      <c r="D160" s="297" t="s">
        <v>2</v>
      </c>
      <c r="E160" s="788"/>
      <c r="F160" s="738"/>
      <c r="G160" s="738" t="e">
        <f>#REF!</f>
        <v>#REF!</v>
      </c>
      <c r="H160" s="738" t="e">
        <f>#REF!</f>
        <v>#REF!</v>
      </c>
      <c r="I160" s="739">
        <f>E160*F160</f>
        <v>0</v>
      </c>
      <c r="J160" s="739" t="e">
        <f>E160*G160</f>
        <v>#REF!</v>
      </c>
      <c r="K160" s="740" t="e">
        <f>E160*H160</f>
        <v>#REF!</v>
      </c>
      <c r="L160" s="735" t="e">
        <f t="shared" si="79"/>
        <v>#REF!</v>
      </c>
      <c r="N160" s="741" t="e">
        <f t="shared" si="74"/>
        <v>#REF!</v>
      </c>
      <c r="O160" s="741" t="e">
        <f t="shared" si="36"/>
        <v>#REF!</v>
      </c>
    </row>
    <row r="161" spans="1:15" s="298" customFormat="1" ht="17.100000000000001" hidden="1" customHeight="1">
      <c r="A161" s="736" t="e">
        <f t="shared" si="78"/>
        <v>#REF!</v>
      </c>
      <c r="B161" s="296" t="s">
        <v>1443</v>
      </c>
      <c r="C161" s="296" t="s">
        <v>1444</v>
      </c>
      <c r="D161" s="297" t="s">
        <v>2</v>
      </c>
      <c r="E161" s="788"/>
      <c r="F161" s="738"/>
      <c r="G161" s="738" t="e">
        <f>#REF!</f>
        <v>#REF!</v>
      </c>
      <c r="H161" s="738"/>
      <c r="I161" s="739">
        <f t="shared" si="89"/>
        <v>0</v>
      </c>
      <c r="J161" s="739" t="e">
        <f t="shared" si="90"/>
        <v>#REF!</v>
      </c>
      <c r="K161" s="740">
        <f t="shared" si="91"/>
        <v>0</v>
      </c>
      <c r="L161" s="735" t="e">
        <f t="shared" si="79"/>
        <v>#REF!</v>
      </c>
      <c r="N161" s="741" t="e">
        <f t="shared" si="74"/>
        <v>#REF!</v>
      </c>
      <c r="O161" s="741" t="e">
        <f t="shared" si="36"/>
        <v>#REF!</v>
      </c>
    </row>
    <row r="162" spans="1:15" s="298" customFormat="1" ht="17.100000000000001" hidden="1" customHeight="1">
      <c r="A162" s="736" t="e">
        <f t="shared" si="78"/>
        <v>#REF!</v>
      </c>
      <c r="B162" s="296" t="s">
        <v>1445</v>
      </c>
      <c r="C162" s="296" t="s">
        <v>1446</v>
      </c>
      <c r="D162" s="297" t="s">
        <v>2</v>
      </c>
      <c r="E162" s="788"/>
      <c r="F162" s="738" t="e">
        <f>#REF!</f>
        <v>#REF!</v>
      </c>
      <c r="G162" s="738" t="e">
        <f>#REF!</f>
        <v>#REF!</v>
      </c>
      <c r="H162" s="738" t="e">
        <f>#REF!</f>
        <v>#REF!</v>
      </c>
      <c r="I162" s="739" t="e">
        <f t="shared" si="89"/>
        <v>#REF!</v>
      </c>
      <c r="J162" s="739" t="e">
        <f t="shared" si="90"/>
        <v>#REF!</v>
      </c>
      <c r="K162" s="740" t="e">
        <f t="shared" si="91"/>
        <v>#REF!</v>
      </c>
      <c r="L162" s="735" t="e">
        <f t="shared" si="79"/>
        <v>#REF!</v>
      </c>
      <c r="N162" s="741" t="e">
        <f t="shared" si="74"/>
        <v>#REF!</v>
      </c>
      <c r="O162" s="741" t="e">
        <f t="shared" si="36"/>
        <v>#REF!</v>
      </c>
    </row>
    <row r="163" spans="1:15" s="298" customFormat="1" ht="17.100000000000001" hidden="1" customHeight="1">
      <c r="A163" s="736" t="e">
        <f t="shared" si="78"/>
        <v>#REF!</v>
      </c>
      <c r="B163" s="296" t="s">
        <v>1447</v>
      </c>
      <c r="C163" s="296" t="s">
        <v>1448</v>
      </c>
      <c r="D163" s="297" t="s">
        <v>2</v>
      </c>
      <c r="E163" s="788"/>
      <c r="F163" s="738"/>
      <c r="G163" s="738" t="e">
        <f>#REF!</f>
        <v>#REF!</v>
      </c>
      <c r="H163" s="738" t="e">
        <f>#REF!</f>
        <v>#REF!</v>
      </c>
      <c r="I163" s="739">
        <f>E163*F163</f>
        <v>0</v>
      </c>
      <c r="J163" s="739" t="e">
        <f>E163*G163</f>
        <v>#REF!</v>
      </c>
      <c r="K163" s="740" t="e">
        <f>E163*H163</f>
        <v>#REF!</v>
      </c>
      <c r="L163" s="735" t="e">
        <f t="shared" si="79"/>
        <v>#REF!</v>
      </c>
      <c r="N163" s="741" t="e">
        <f t="shared" si="74"/>
        <v>#REF!</v>
      </c>
      <c r="O163" s="741" t="e">
        <f t="shared" si="36"/>
        <v>#REF!</v>
      </c>
    </row>
    <row r="164" spans="1:15" s="298" customFormat="1" ht="17.100000000000001" hidden="1" customHeight="1">
      <c r="A164" s="736" t="e">
        <f t="shared" si="78"/>
        <v>#REF!</v>
      </c>
      <c r="B164" s="296" t="s">
        <v>574</v>
      </c>
      <c r="C164" s="296" t="s">
        <v>1449</v>
      </c>
      <c r="D164" s="297" t="s">
        <v>2</v>
      </c>
      <c r="E164" s="788"/>
      <c r="F164" s="738"/>
      <c r="G164" s="738" t="e">
        <f>#REF!</f>
        <v>#REF!</v>
      </c>
      <c r="H164" s="738" t="e">
        <f>#REF!</f>
        <v>#REF!</v>
      </c>
      <c r="I164" s="739">
        <f t="shared" si="89"/>
        <v>0</v>
      </c>
      <c r="J164" s="739" t="e">
        <f t="shared" si="90"/>
        <v>#REF!</v>
      </c>
      <c r="K164" s="740" t="e">
        <f t="shared" si="91"/>
        <v>#REF!</v>
      </c>
      <c r="L164" s="735" t="e">
        <f t="shared" si="79"/>
        <v>#REF!</v>
      </c>
      <c r="N164" s="741" t="e">
        <f t="shared" ref="N164:N259" si="92">SUM(F164:H164)*1.278</f>
        <v>#REF!</v>
      </c>
      <c r="O164" s="741" t="e">
        <f t="shared" ref="O164:O259" si="93">N164*E164</f>
        <v>#REF!</v>
      </c>
    </row>
    <row r="165" spans="1:15" s="298" customFormat="1" ht="17.100000000000001" hidden="1" customHeight="1">
      <c r="A165" s="736" t="e">
        <f t="shared" si="78"/>
        <v>#REF!</v>
      </c>
      <c r="B165" s="296" t="s">
        <v>1450</v>
      </c>
      <c r="C165" s="296" t="s">
        <v>1451</v>
      </c>
      <c r="D165" s="297" t="s">
        <v>2</v>
      </c>
      <c r="E165" s="788"/>
      <c r="F165" s="738"/>
      <c r="G165" s="738" t="e">
        <f>#REF!</f>
        <v>#REF!</v>
      </c>
      <c r="H165" s="738" t="e">
        <f>#REF!</f>
        <v>#REF!</v>
      </c>
      <c r="I165" s="739">
        <f>E165*F165</f>
        <v>0</v>
      </c>
      <c r="J165" s="739" t="e">
        <f>E165*G165</f>
        <v>#REF!</v>
      </c>
      <c r="K165" s="740" t="e">
        <f>E165*H165</f>
        <v>#REF!</v>
      </c>
      <c r="L165" s="735" t="e">
        <f t="shared" si="79"/>
        <v>#REF!</v>
      </c>
      <c r="N165" s="741" t="e">
        <f t="shared" si="92"/>
        <v>#REF!</v>
      </c>
      <c r="O165" s="741" t="e">
        <f t="shared" si="93"/>
        <v>#REF!</v>
      </c>
    </row>
    <row r="166" spans="1:15" s="298" customFormat="1" ht="17.100000000000001" hidden="1" customHeight="1">
      <c r="A166" s="736" t="e">
        <f t="shared" si="78"/>
        <v>#REF!</v>
      </c>
      <c r="B166" s="296" t="s">
        <v>1452</v>
      </c>
      <c r="C166" s="296" t="s">
        <v>1453</v>
      </c>
      <c r="D166" s="297" t="s">
        <v>2</v>
      </c>
      <c r="E166" s="788"/>
      <c r="F166" s="738"/>
      <c r="G166" s="738" t="e">
        <f>#REF!</f>
        <v>#REF!</v>
      </c>
      <c r="H166" s="738" t="e">
        <f>#REF!</f>
        <v>#REF!</v>
      </c>
      <c r="I166" s="739">
        <f t="shared" si="89"/>
        <v>0</v>
      </c>
      <c r="J166" s="739" t="e">
        <f t="shared" si="90"/>
        <v>#REF!</v>
      </c>
      <c r="K166" s="740" t="e">
        <f t="shared" si="91"/>
        <v>#REF!</v>
      </c>
      <c r="L166" s="735" t="e">
        <f t="shared" si="79"/>
        <v>#REF!</v>
      </c>
      <c r="N166" s="741" t="e">
        <f t="shared" si="92"/>
        <v>#REF!</v>
      </c>
      <c r="O166" s="741" t="e">
        <f t="shared" si="93"/>
        <v>#REF!</v>
      </c>
    </row>
    <row r="167" spans="1:15" s="298" customFormat="1" ht="17.100000000000001" hidden="1" customHeight="1">
      <c r="A167" s="736" t="e">
        <f t="shared" si="78"/>
        <v>#REF!</v>
      </c>
      <c r="B167" s="296" t="s">
        <v>1454</v>
      </c>
      <c r="C167" s="296" t="s">
        <v>1455</v>
      </c>
      <c r="D167" s="297" t="s">
        <v>2</v>
      </c>
      <c r="E167" s="788"/>
      <c r="F167" s="738"/>
      <c r="G167" s="738" t="e">
        <f>#REF!</f>
        <v>#REF!</v>
      </c>
      <c r="H167" s="738" t="e">
        <f>#REF!</f>
        <v>#REF!</v>
      </c>
      <c r="I167" s="739">
        <f t="shared" si="89"/>
        <v>0</v>
      </c>
      <c r="J167" s="739" t="e">
        <f t="shared" si="90"/>
        <v>#REF!</v>
      </c>
      <c r="K167" s="740" t="e">
        <f t="shared" si="91"/>
        <v>#REF!</v>
      </c>
      <c r="L167" s="735" t="e">
        <f t="shared" si="79"/>
        <v>#REF!</v>
      </c>
      <c r="N167" s="741" t="e">
        <f t="shared" si="92"/>
        <v>#REF!</v>
      </c>
      <c r="O167" s="741" t="e">
        <f t="shared" si="93"/>
        <v>#REF!</v>
      </c>
    </row>
    <row r="168" spans="1:15" s="298" customFormat="1" ht="17.100000000000001" hidden="1" customHeight="1">
      <c r="A168" s="736" t="e">
        <f t="shared" si="78"/>
        <v>#REF!</v>
      </c>
      <c r="B168" s="296" t="s">
        <v>1654</v>
      </c>
      <c r="C168" s="296" t="s">
        <v>1655</v>
      </c>
      <c r="D168" s="297" t="s">
        <v>2</v>
      </c>
      <c r="E168" s="788"/>
      <c r="F168" s="738"/>
      <c r="G168" s="738"/>
      <c r="H168" s="738" t="e">
        <f>#REF!</f>
        <v>#REF!</v>
      </c>
      <c r="I168" s="739">
        <f t="shared" si="89"/>
        <v>0</v>
      </c>
      <c r="J168" s="739">
        <f t="shared" si="90"/>
        <v>0</v>
      </c>
      <c r="K168" s="740" t="e">
        <f t="shared" si="91"/>
        <v>#REF!</v>
      </c>
      <c r="L168" s="735" t="e">
        <f t="shared" si="79"/>
        <v>#REF!</v>
      </c>
      <c r="N168" s="741" t="e">
        <f t="shared" si="92"/>
        <v>#REF!</v>
      </c>
      <c r="O168" s="741" t="e">
        <f t="shared" si="93"/>
        <v>#REF!</v>
      </c>
    </row>
    <row r="169" spans="1:15" s="298" customFormat="1" ht="17.100000000000001" hidden="1" customHeight="1">
      <c r="A169" s="736" t="e">
        <f t="shared" si="78"/>
        <v>#REF!</v>
      </c>
      <c r="B169" s="296" t="s">
        <v>550</v>
      </c>
      <c r="C169" s="296" t="s">
        <v>1456</v>
      </c>
      <c r="D169" s="297" t="s">
        <v>2</v>
      </c>
      <c r="E169" s="788"/>
      <c r="F169" s="738"/>
      <c r="G169" s="738" t="e">
        <f>#REF!</f>
        <v>#REF!</v>
      </c>
      <c r="H169" s="738" t="e">
        <f>#REF!</f>
        <v>#REF!</v>
      </c>
      <c r="I169" s="739">
        <f t="shared" si="89"/>
        <v>0</v>
      </c>
      <c r="J169" s="739" t="e">
        <f t="shared" si="90"/>
        <v>#REF!</v>
      </c>
      <c r="K169" s="740" t="e">
        <f t="shared" si="91"/>
        <v>#REF!</v>
      </c>
      <c r="L169" s="735" t="e">
        <f t="shared" si="79"/>
        <v>#REF!</v>
      </c>
      <c r="N169" s="741" t="e">
        <f t="shared" si="92"/>
        <v>#REF!</v>
      </c>
      <c r="O169" s="741" t="e">
        <f t="shared" si="93"/>
        <v>#REF!</v>
      </c>
    </row>
    <row r="170" spans="1:15" s="298" customFormat="1" ht="17.100000000000001" hidden="1" customHeight="1">
      <c r="A170" s="736" t="e">
        <f t="shared" si="78"/>
        <v>#REF!</v>
      </c>
      <c r="B170" s="296" t="s">
        <v>1491</v>
      </c>
      <c r="C170" s="296" t="s">
        <v>1656</v>
      </c>
      <c r="D170" s="297" t="s">
        <v>2</v>
      </c>
      <c r="E170" s="788"/>
      <c r="F170" s="738"/>
      <c r="G170" s="738"/>
      <c r="H170" s="738" t="e">
        <f>#REF!</f>
        <v>#REF!</v>
      </c>
      <c r="I170" s="739">
        <f t="shared" si="89"/>
        <v>0</v>
      </c>
      <c r="J170" s="739">
        <f t="shared" si="90"/>
        <v>0</v>
      </c>
      <c r="K170" s="740" t="e">
        <f t="shared" si="91"/>
        <v>#REF!</v>
      </c>
      <c r="L170" s="735" t="e">
        <f t="shared" si="79"/>
        <v>#REF!</v>
      </c>
      <c r="N170" s="741" t="e">
        <f t="shared" si="92"/>
        <v>#REF!</v>
      </c>
      <c r="O170" s="741" t="e">
        <f t="shared" si="93"/>
        <v>#REF!</v>
      </c>
    </row>
    <row r="171" spans="1:15" s="298" customFormat="1" ht="28.5" hidden="1">
      <c r="A171" s="736" t="e">
        <f t="shared" si="78"/>
        <v>#REF!</v>
      </c>
      <c r="B171" s="296" t="s">
        <v>1747</v>
      </c>
      <c r="C171" s="743" t="s">
        <v>1687</v>
      </c>
      <c r="D171" s="297" t="s">
        <v>59</v>
      </c>
      <c r="E171" s="788"/>
      <c r="F171" s="738" t="e">
        <f>#REF!</f>
        <v>#REF!</v>
      </c>
      <c r="G171" s="738" t="e">
        <f>#REF!</f>
        <v>#REF!</v>
      </c>
      <c r="H171" s="738" t="e">
        <f>#REF!</f>
        <v>#REF!</v>
      </c>
      <c r="I171" s="739" t="e">
        <f t="shared" si="89"/>
        <v>#REF!</v>
      </c>
      <c r="J171" s="739" t="e">
        <f t="shared" si="90"/>
        <v>#REF!</v>
      </c>
      <c r="K171" s="740" t="e">
        <f t="shared" si="91"/>
        <v>#REF!</v>
      </c>
      <c r="L171" s="735" t="e">
        <f t="shared" si="79"/>
        <v>#REF!</v>
      </c>
      <c r="N171" s="741" t="e">
        <f t="shared" si="92"/>
        <v>#REF!</v>
      </c>
      <c r="O171" s="741" t="e">
        <f t="shared" si="93"/>
        <v>#REF!</v>
      </c>
    </row>
    <row r="172" spans="1:15" s="298" customFormat="1" ht="17.100000000000001" hidden="1" customHeight="1">
      <c r="A172" s="736" t="e">
        <f t="shared" si="78"/>
        <v>#REF!</v>
      </c>
      <c r="B172" s="296" t="s">
        <v>1458</v>
      </c>
      <c r="C172" s="296" t="s">
        <v>1459</v>
      </c>
      <c r="D172" s="297" t="s">
        <v>59</v>
      </c>
      <c r="E172" s="788"/>
      <c r="F172" s="738" t="e">
        <f>#REF!</f>
        <v>#REF!</v>
      </c>
      <c r="G172" s="738" t="e">
        <f>#REF!</f>
        <v>#REF!</v>
      </c>
      <c r="H172" s="738" t="e">
        <f>#REF!</f>
        <v>#REF!</v>
      </c>
      <c r="I172" s="739" t="e">
        <f t="shared" si="89"/>
        <v>#REF!</v>
      </c>
      <c r="J172" s="739" t="e">
        <f t="shared" si="90"/>
        <v>#REF!</v>
      </c>
      <c r="K172" s="740" t="e">
        <f t="shared" si="91"/>
        <v>#REF!</v>
      </c>
      <c r="L172" s="735" t="e">
        <f t="shared" si="79"/>
        <v>#REF!</v>
      </c>
      <c r="N172" s="741" t="e">
        <f t="shared" si="92"/>
        <v>#REF!</v>
      </c>
      <c r="O172" s="741" t="e">
        <f t="shared" si="93"/>
        <v>#REF!</v>
      </c>
    </row>
    <row r="173" spans="1:15" s="298" customFormat="1" ht="17.100000000000001" hidden="1" customHeight="1">
      <c r="A173" s="736" t="e">
        <f t="shared" si="78"/>
        <v>#REF!</v>
      </c>
      <c r="B173" s="296" t="s">
        <v>1436</v>
      </c>
      <c r="C173" s="296" t="s">
        <v>1460</v>
      </c>
      <c r="D173" s="297" t="s">
        <v>59</v>
      </c>
      <c r="E173" s="788"/>
      <c r="F173" s="738" t="e">
        <f>#REF!</f>
        <v>#REF!</v>
      </c>
      <c r="G173" s="738" t="e">
        <f>#REF!</f>
        <v>#REF!</v>
      </c>
      <c r="H173" s="738" t="e">
        <f>#REF!</f>
        <v>#REF!</v>
      </c>
      <c r="I173" s="739" t="e">
        <f t="shared" si="89"/>
        <v>#REF!</v>
      </c>
      <c r="J173" s="739" t="e">
        <f t="shared" si="90"/>
        <v>#REF!</v>
      </c>
      <c r="K173" s="740" t="e">
        <f t="shared" si="91"/>
        <v>#REF!</v>
      </c>
      <c r="L173" s="735" t="e">
        <f t="shared" si="79"/>
        <v>#REF!</v>
      </c>
      <c r="N173" s="741" t="e">
        <f t="shared" si="92"/>
        <v>#REF!</v>
      </c>
      <c r="O173" s="741" t="e">
        <f t="shared" si="93"/>
        <v>#REF!</v>
      </c>
    </row>
    <row r="174" spans="1:15" s="298" customFormat="1" ht="17.100000000000001" hidden="1" customHeight="1">
      <c r="A174" s="736" t="e">
        <f t="shared" si="78"/>
        <v>#REF!</v>
      </c>
      <c r="B174" s="296" t="s">
        <v>1690</v>
      </c>
      <c r="C174" s="296" t="s">
        <v>1489</v>
      </c>
      <c r="D174" s="297" t="s">
        <v>2</v>
      </c>
      <c r="E174" s="788"/>
      <c r="F174" s="738" t="e">
        <f>#REF!</f>
        <v>#REF!</v>
      </c>
      <c r="G174" s="738" t="e">
        <f>#REF!</f>
        <v>#REF!</v>
      </c>
      <c r="H174" s="738"/>
      <c r="I174" s="739" t="e">
        <f t="shared" si="89"/>
        <v>#REF!</v>
      </c>
      <c r="J174" s="739" t="e">
        <f t="shared" si="90"/>
        <v>#REF!</v>
      </c>
      <c r="K174" s="740">
        <f t="shared" si="91"/>
        <v>0</v>
      </c>
      <c r="L174" s="735" t="e">
        <f t="shared" si="79"/>
        <v>#REF!</v>
      </c>
      <c r="N174" s="741" t="e">
        <f t="shared" ref="N174" si="94">SUM(F174:H174)*1.278</f>
        <v>#REF!</v>
      </c>
      <c r="O174" s="741" t="e">
        <f t="shared" ref="O174" si="95">N174*E174</f>
        <v>#REF!</v>
      </c>
    </row>
    <row r="175" spans="1:15" s="298" customFormat="1" ht="17.100000000000001" hidden="1" customHeight="1">
      <c r="A175" s="736" t="e">
        <f t="shared" si="78"/>
        <v>#REF!</v>
      </c>
      <c r="B175" s="824" t="s">
        <v>1688</v>
      </c>
      <c r="C175" s="296" t="s">
        <v>1689</v>
      </c>
      <c r="D175" s="297" t="s">
        <v>2</v>
      </c>
      <c r="E175" s="788"/>
      <c r="F175" s="738"/>
      <c r="G175" s="738" t="e">
        <f>#REF!</f>
        <v>#REF!</v>
      </c>
      <c r="H175" s="738"/>
      <c r="I175" s="739">
        <f t="shared" si="89"/>
        <v>0</v>
      </c>
      <c r="J175" s="739" t="e">
        <f t="shared" si="90"/>
        <v>#REF!</v>
      </c>
      <c r="K175" s="740">
        <f t="shared" si="91"/>
        <v>0</v>
      </c>
      <c r="L175" s="735" t="e">
        <f t="shared" si="79"/>
        <v>#REF!</v>
      </c>
      <c r="N175" s="741"/>
      <c r="O175" s="741"/>
    </row>
    <row r="176" spans="1:15" s="298" customFormat="1" ht="17.100000000000001" hidden="1" customHeight="1">
      <c r="A176" s="736" t="e">
        <f t="shared" si="78"/>
        <v>#REF!</v>
      </c>
      <c r="B176" s="296" t="s">
        <v>870</v>
      </c>
      <c r="C176" s="296" t="s">
        <v>1461</v>
      </c>
      <c r="D176" s="297" t="s">
        <v>2</v>
      </c>
      <c r="E176" s="788"/>
      <c r="F176" s="738"/>
      <c r="G176" s="738" t="e">
        <f>#REF!</f>
        <v>#REF!</v>
      </c>
      <c r="H176" s="738" t="e">
        <f>#REF!</f>
        <v>#REF!</v>
      </c>
      <c r="I176" s="739">
        <f t="shared" si="89"/>
        <v>0</v>
      </c>
      <c r="J176" s="739" t="e">
        <f t="shared" si="90"/>
        <v>#REF!</v>
      </c>
      <c r="K176" s="740" t="e">
        <f t="shared" si="91"/>
        <v>#REF!</v>
      </c>
      <c r="L176" s="735" t="e">
        <f t="shared" si="79"/>
        <v>#REF!</v>
      </c>
      <c r="N176" s="741" t="e">
        <f t="shared" si="92"/>
        <v>#REF!</v>
      </c>
      <c r="O176" s="741" t="e">
        <f t="shared" si="93"/>
        <v>#REF!</v>
      </c>
    </row>
    <row r="177" spans="1:15" s="298" customFormat="1" ht="17.100000000000001" hidden="1" customHeight="1">
      <c r="A177" s="736" t="e">
        <f t="shared" si="78"/>
        <v>#REF!</v>
      </c>
      <c r="B177" s="296" t="s">
        <v>1462</v>
      </c>
      <c r="C177" s="296" t="s">
        <v>1463</v>
      </c>
      <c r="D177" s="297" t="s">
        <v>1464</v>
      </c>
      <c r="E177" s="788"/>
      <c r="F177" s="738" t="e">
        <f>#REF!</f>
        <v>#REF!</v>
      </c>
      <c r="G177" s="738" t="e">
        <f>#REF!</f>
        <v>#REF!</v>
      </c>
      <c r="H177" s="738"/>
      <c r="I177" s="739" t="e">
        <f t="shared" si="89"/>
        <v>#REF!</v>
      </c>
      <c r="J177" s="739" t="e">
        <f t="shared" si="90"/>
        <v>#REF!</v>
      </c>
      <c r="K177" s="740">
        <f t="shared" si="91"/>
        <v>0</v>
      </c>
      <c r="L177" s="735" t="e">
        <f t="shared" si="79"/>
        <v>#REF!</v>
      </c>
      <c r="N177" s="741" t="e">
        <f t="shared" si="92"/>
        <v>#REF!</v>
      </c>
      <c r="O177" s="741" t="e">
        <f t="shared" si="93"/>
        <v>#REF!</v>
      </c>
    </row>
    <row r="178" spans="1:15" s="298" customFormat="1" ht="17.100000000000001" hidden="1" customHeight="1">
      <c r="A178" s="736" t="e">
        <f t="shared" si="78"/>
        <v>#REF!</v>
      </c>
      <c r="B178" s="296" t="s">
        <v>861</v>
      </c>
      <c r="C178" s="296" t="s">
        <v>1465</v>
      </c>
      <c r="D178" s="297" t="s">
        <v>2</v>
      </c>
      <c r="E178" s="788"/>
      <c r="F178" s="738"/>
      <c r="G178" s="738" t="e">
        <f>#REF!</f>
        <v>#REF!</v>
      </c>
      <c r="H178" s="738" t="e">
        <f>#REF!</f>
        <v>#REF!</v>
      </c>
      <c r="I178" s="739">
        <f t="shared" si="89"/>
        <v>0</v>
      </c>
      <c r="J178" s="739" t="e">
        <f t="shared" si="90"/>
        <v>#REF!</v>
      </c>
      <c r="K178" s="740" t="e">
        <f t="shared" si="91"/>
        <v>#REF!</v>
      </c>
      <c r="L178" s="735" t="e">
        <f t="shared" si="79"/>
        <v>#REF!</v>
      </c>
      <c r="N178" s="741" t="e">
        <f t="shared" si="92"/>
        <v>#REF!</v>
      </c>
      <c r="O178" s="741" t="e">
        <f t="shared" si="93"/>
        <v>#REF!</v>
      </c>
    </row>
    <row r="179" spans="1:15" s="298" customFormat="1" ht="17.100000000000001" hidden="1" customHeight="1">
      <c r="A179" s="736" t="e">
        <f t="shared" si="78"/>
        <v>#REF!</v>
      </c>
      <c r="B179" s="296" t="s">
        <v>870</v>
      </c>
      <c r="C179" s="296" t="s">
        <v>1466</v>
      </c>
      <c r="D179" s="297" t="s">
        <v>2</v>
      </c>
      <c r="E179" s="788"/>
      <c r="F179" s="738"/>
      <c r="G179" s="738" t="e">
        <f>#REF!</f>
        <v>#REF!</v>
      </c>
      <c r="H179" s="738" t="e">
        <f>#REF!</f>
        <v>#REF!</v>
      </c>
      <c r="I179" s="739">
        <f t="shared" si="89"/>
        <v>0</v>
      </c>
      <c r="J179" s="739" t="e">
        <f t="shared" si="90"/>
        <v>#REF!</v>
      </c>
      <c r="K179" s="740" t="e">
        <f t="shared" si="91"/>
        <v>#REF!</v>
      </c>
      <c r="L179" s="735" t="e">
        <f t="shared" si="79"/>
        <v>#REF!</v>
      </c>
      <c r="N179" s="741" t="e">
        <f t="shared" si="92"/>
        <v>#REF!</v>
      </c>
      <c r="O179" s="741" t="e">
        <f t="shared" si="93"/>
        <v>#REF!</v>
      </c>
    </row>
    <row r="180" spans="1:15" s="298" customFormat="1" ht="17.100000000000001" hidden="1" customHeight="1">
      <c r="A180" s="736" t="e">
        <f t="shared" si="78"/>
        <v>#REF!</v>
      </c>
      <c r="B180" s="296" t="s">
        <v>617</v>
      </c>
      <c r="C180" s="296" t="s">
        <v>1467</v>
      </c>
      <c r="D180" s="297" t="s">
        <v>2</v>
      </c>
      <c r="E180" s="788"/>
      <c r="F180" s="738"/>
      <c r="G180" s="738" t="e">
        <f>#REF!</f>
        <v>#REF!</v>
      </c>
      <c r="H180" s="738" t="e">
        <f>#REF!</f>
        <v>#REF!</v>
      </c>
      <c r="I180" s="739">
        <f t="shared" si="89"/>
        <v>0</v>
      </c>
      <c r="J180" s="739" t="e">
        <f t="shared" si="90"/>
        <v>#REF!</v>
      </c>
      <c r="K180" s="740" t="e">
        <f t="shared" si="91"/>
        <v>#REF!</v>
      </c>
      <c r="L180" s="735" t="e">
        <f t="shared" si="79"/>
        <v>#REF!</v>
      </c>
      <c r="N180" s="741" t="e">
        <f t="shared" si="92"/>
        <v>#REF!</v>
      </c>
      <c r="O180" s="741" t="e">
        <f t="shared" si="93"/>
        <v>#REF!</v>
      </c>
    </row>
    <row r="181" spans="1:15" s="298" customFormat="1" ht="17.100000000000001" hidden="1" customHeight="1">
      <c r="A181" s="736" t="e">
        <f t="shared" si="78"/>
        <v>#REF!</v>
      </c>
      <c r="B181" s="296" t="s">
        <v>1491</v>
      </c>
      <c r="C181" s="296" t="s">
        <v>1656</v>
      </c>
      <c r="D181" s="297" t="s">
        <v>2</v>
      </c>
      <c r="E181" s="788"/>
      <c r="F181" s="738"/>
      <c r="G181" s="738"/>
      <c r="H181" s="738" t="e">
        <f>#REF!</f>
        <v>#REF!</v>
      </c>
      <c r="I181" s="739">
        <f t="shared" si="89"/>
        <v>0</v>
      </c>
      <c r="J181" s="739">
        <f t="shared" si="90"/>
        <v>0</v>
      </c>
      <c r="K181" s="740" t="e">
        <f t="shared" si="91"/>
        <v>#REF!</v>
      </c>
      <c r="L181" s="735" t="e">
        <f t="shared" si="79"/>
        <v>#REF!</v>
      </c>
      <c r="N181" s="741" t="e">
        <f t="shared" si="92"/>
        <v>#REF!</v>
      </c>
      <c r="O181" s="741" t="e">
        <f t="shared" si="93"/>
        <v>#REF!</v>
      </c>
    </row>
    <row r="182" spans="1:15" s="298" customFormat="1" ht="17.100000000000001" hidden="1" customHeight="1">
      <c r="A182" s="736" t="e">
        <f t="shared" si="78"/>
        <v>#REF!</v>
      </c>
      <c r="B182" s="296" t="s">
        <v>1425</v>
      </c>
      <c r="C182" s="296" t="s">
        <v>1468</v>
      </c>
      <c r="D182" s="297" t="s">
        <v>2</v>
      </c>
      <c r="E182" s="788"/>
      <c r="F182" s="738"/>
      <c r="G182" s="738"/>
      <c r="H182" s="738" t="e">
        <f>#REF!</f>
        <v>#REF!</v>
      </c>
      <c r="I182" s="739">
        <f t="shared" si="89"/>
        <v>0</v>
      </c>
      <c r="J182" s="739">
        <f t="shared" si="90"/>
        <v>0</v>
      </c>
      <c r="K182" s="740" t="e">
        <f t="shared" si="91"/>
        <v>#REF!</v>
      </c>
      <c r="L182" s="735" t="e">
        <f t="shared" si="79"/>
        <v>#REF!</v>
      </c>
      <c r="N182" s="741" t="e">
        <f t="shared" si="92"/>
        <v>#REF!</v>
      </c>
      <c r="O182" s="741" t="e">
        <f t="shared" si="93"/>
        <v>#REF!</v>
      </c>
    </row>
    <row r="183" spans="1:15" s="298" customFormat="1" ht="17.100000000000001" hidden="1" customHeight="1">
      <c r="A183" s="736" t="e">
        <f t="shared" si="78"/>
        <v>#REF!</v>
      </c>
      <c r="B183" s="296" t="s">
        <v>872</v>
      </c>
      <c r="C183" s="296" t="s">
        <v>886</v>
      </c>
      <c r="D183" s="297" t="s">
        <v>874</v>
      </c>
      <c r="E183" s="788"/>
      <c r="F183" s="738"/>
      <c r="G183" s="738"/>
      <c r="H183" s="738" t="e">
        <f>#REF!</f>
        <v>#REF!</v>
      </c>
      <c r="I183" s="739">
        <f t="shared" si="89"/>
        <v>0</v>
      </c>
      <c r="J183" s="739">
        <f t="shared" si="90"/>
        <v>0</v>
      </c>
      <c r="K183" s="740" t="e">
        <f t="shared" si="91"/>
        <v>#REF!</v>
      </c>
      <c r="L183" s="735" t="e">
        <f t="shared" si="79"/>
        <v>#REF!</v>
      </c>
      <c r="N183" s="741" t="e">
        <f t="shared" ref="N183" si="96">SUM(F183:H183)*1.278</f>
        <v>#REF!</v>
      </c>
      <c r="O183" s="741" t="e">
        <f t="shared" ref="O183" si="97">N183*E183</f>
        <v>#REF!</v>
      </c>
    </row>
    <row r="184" spans="1:15" s="298" customFormat="1" ht="17.100000000000001" hidden="1" customHeight="1">
      <c r="A184" s="736" t="e">
        <f t="shared" si="78"/>
        <v>#REF!</v>
      </c>
      <c r="B184" s="296"/>
      <c r="C184" s="742" t="s">
        <v>1726</v>
      </c>
      <c r="D184" s="297" t="s">
        <v>0</v>
      </c>
      <c r="E184" s="788"/>
      <c r="F184" s="738"/>
      <c r="G184" s="738"/>
      <c r="H184" s="738"/>
      <c r="I184" s="739">
        <f t="shared" si="89"/>
        <v>0</v>
      </c>
      <c r="J184" s="739">
        <f t="shared" si="90"/>
        <v>0</v>
      </c>
      <c r="K184" s="740">
        <f t="shared" si="91"/>
        <v>0</v>
      </c>
      <c r="L184" s="735">
        <f t="shared" si="79"/>
        <v>0</v>
      </c>
      <c r="N184" s="741">
        <f t="shared" si="92"/>
        <v>0</v>
      </c>
      <c r="O184" s="741">
        <f t="shared" si="93"/>
        <v>0</v>
      </c>
    </row>
    <row r="185" spans="1:15" s="298" customFormat="1" ht="17.100000000000001" hidden="1" customHeight="1">
      <c r="A185" s="736" t="e">
        <f t="shared" si="78"/>
        <v>#REF!</v>
      </c>
      <c r="B185" s="296"/>
      <c r="C185" s="742" t="s">
        <v>1469</v>
      </c>
      <c r="D185" s="297" t="s">
        <v>0</v>
      </c>
      <c r="E185" s="788"/>
      <c r="F185" s="738"/>
      <c r="G185" s="738"/>
      <c r="H185" s="738"/>
      <c r="I185" s="739">
        <f t="shared" ref="I185:I189" si="98">E185*F185</f>
        <v>0</v>
      </c>
      <c r="J185" s="739">
        <f t="shared" ref="J185:J189" si="99">E185*G185</f>
        <v>0</v>
      </c>
      <c r="K185" s="740">
        <f t="shared" ref="K185:K189" si="100">E185*H185</f>
        <v>0</v>
      </c>
      <c r="L185" s="735">
        <f t="shared" si="79"/>
        <v>0</v>
      </c>
      <c r="N185" s="741">
        <f t="shared" si="92"/>
        <v>0</v>
      </c>
      <c r="O185" s="741">
        <f t="shared" si="93"/>
        <v>0</v>
      </c>
    </row>
    <row r="186" spans="1:15" s="298" customFormat="1" ht="17.100000000000001" hidden="1" customHeight="1">
      <c r="A186" s="736" t="e">
        <f t="shared" si="78"/>
        <v>#REF!</v>
      </c>
      <c r="B186" s="296" t="s">
        <v>1710</v>
      </c>
      <c r="C186" s="296" t="s">
        <v>1711</v>
      </c>
      <c r="D186" s="297" t="s">
        <v>1472</v>
      </c>
      <c r="E186" s="788"/>
      <c r="F186" s="738"/>
      <c r="G186" s="738" t="e">
        <f>#REF!</f>
        <v>#REF!</v>
      </c>
      <c r="H186" s="738" t="e">
        <f>#REF!</f>
        <v>#REF!</v>
      </c>
      <c r="I186" s="739">
        <f t="shared" si="98"/>
        <v>0</v>
      </c>
      <c r="J186" s="739" t="e">
        <f t="shared" si="99"/>
        <v>#REF!</v>
      </c>
      <c r="K186" s="740" t="e">
        <f t="shared" si="100"/>
        <v>#REF!</v>
      </c>
      <c r="L186" s="735" t="e">
        <f t="shared" si="79"/>
        <v>#REF!</v>
      </c>
      <c r="N186" s="741"/>
      <c r="O186" s="741"/>
    </row>
    <row r="187" spans="1:15" s="298" customFormat="1" ht="17.100000000000001" hidden="1" customHeight="1">
      <c r="A187" s="736" t="e">
        <f t="shared" si="78"/>
        <v>#REF!</v>
      </c>
      <c r="B187" s="296" t="s">
        <v>1470</v>
      </c>
      <c r="C187" s="296" t="s">
        <v>1471</v>
      </c>
      <c r="D187" s="297" t="s">
        <v>1472</v>
      </c>
      <c r="E187" s="788"/>
      <c r="F187" s="738" t="e">
        <f>#REF!</f>
        <v>#REF!</v>
      </c>
      <c r="G187" s="738" t="e">
        <f>#REF!</f>
        <v>#REF!</v>
      </c>
      <c r="H187" s="738" t="e">
        <f>#REF!</f>
        <v>#REF!</v>
      </c>
      <c r="I187" s="739" t="e">
        <f t="shared" si="98"/>
        <v>#REF!</v>
      </c>
      <c r="J187" s="739" t="e">
        <f t="shared" si="99"/>
        <v>#REF!</v>
      </c>
      <c r="K187" s="740" t="e">
        <f t="shared" si="100"/>
        <v>#REF!</v>
      </c>
      <c r="L187" s="735" t="e">
        <f t="shared" si="79"/>
        <v>#REF!</v>
      </c>
      <c r="N187" s="741" t="e">
        <f t="shared" si="92"/>
        <v>#REF!</v>
      </c>
      <c r="O187" s="741" t="e">
        <f t="shared" si="93"/>
        <v>#REF!</v>
      </c>
    </row>
    <row r="188" spans="1:15" s="298" customFormat="1" ht="17.100000000000001" hidden="1" customHeight="1">
      <c r="A188" s="736" t="e">
        <f t="shared" si="78"/>
        <v>#REF!</v>
      </c>
      <c r="B188" s="296" t="s">
        <v>1473</v>
      </c>
      <c r="C188" s="296" t="s">
        <v>1474</v>
      </c>
      <c r="D188" s="297" t="s">
        <v>1475</v>
      </c>
      <c r="E188" s="788"/>
      <c r="F188" s="738" t="e">
        <f>#REF!</f>
        <v>#REF!</v>
      </c>
      <c r="G188" s="738" t="e">
        <f>#REF!</f>
        <v>#REF!</v>
      </c>
      <c r="H188" s="738" t="e">
        <f>#REF!</f>
        <v>#REF!</v>
      </c>
      <c r="I188" s="739" t="e">
        <f t="shared" si="98"/>
        <v>#REF!</v>
      </c>
      <c r="J188" s="739" t="e">
        <f t="shared" si="99"/>
        <v>#REF!</v>
      </c>
      <c r="K188" s="740" t="e">
        <f t="shared" si="100"/>
        <v>#REF!</v>
      </c>
      <c r="L188" s="735" t="e">
        <f t="shared" si="79"/>
        <v>#REF!</v>
      </c>
      <c r="N188" s="741" t="e">
        <f t="shared" si="92"/>
        <v>#REF!</v>
      </c>
      <c r="O188" s="741" t="e">
        <f t="shared" si="93"/>
        <v>#REF!</v>
      </c>
    </row>
    <row r="189" spans="1:15" s="298" customFormat="1" ht="17.100000000000001" hidden="1" customHeight="1">
      <c r="A189" s="736" t="e">
        <f t="shared" si="78"/>
        <v>#REF!</v>
      </c>
      <c r="B189" s="296" t="s">
        <v>1476</v>
      </c>
      <c r="C189" s="296" t="s">
        <v>1477</v>
      </c>
      <c r="D189" s="297" t="s">
        <v>1472</v>
      </c>
      <c r="E189" s="788"/>
      <c r="F189" s="738" t="e">
        <f>#REF!</f>
        <v>#REF!</v>
      </c>
      <c r="G189" s="738" t="e">
        <f>#REF!</f>
        <v>#REF!</v>
      </c>
      <c r="H189" s="738" t="e">
        <f>#REF!</f>
        <v>#REF!</v>
      </c>
      <c r="I189" s="739" t="e">
        <f t="shared" si="98"/>
        <v>#REF!</v>
      </c>
      <c r="J189" s="739" t="e">
        <f t="shared" si="99"/>
        <v>#REF!</v>
      </c>
      <c r="K189" s="740" t="e">
        <f t="shared" si="100"/>
        <v>#REF!</v>
      </c>
      <c r="L189" s="735" t="e">
        <f t="shared" si="79"/>
        <v>#REF!</v>
      </c>
      <c r="N189" s="741" t="e">
        <f t="shared" si="92"/>
        <v>#REF!</v>
      </c>
      <c r="O189" s="741" t="e">
        <f t="shared" si="93"/>
        <v>#REF!</v>
      </c>
    </row>
    <row r="190" spans="1:15" s="298" customFormat="1" ht="17.100000000000001" hidden="1" customHeight="1">
      <c r="A190" s="736" t="e">
        <f t="shared" si="78"/>
        <v>#REF!</v>
      </c>
      <c r="B190" s="296" t="s">
        <v>0</v>
      </c>
      <c r="C190" s="742" t="s">
        <v>1478</v>
      </c>
      <c r="D190" s="297" t="s">
        <v>0</v>
      </c>
      <c r="E190" s="788"/>
      <c r="F190" s="738"/>
      <c r="G190" s="738"/>
      <c r="H190" s="738"/>
      <c r="I190" s="739"/>
      <c r="J190" s="739"/>
      <c r="K190" s="740"/>
      <c r="L190" s="735">
        <f t="shared" si="79"/>
        <v>0</v>
      </c>
      <c r="N190" s="741">
        <f t="shared" si="92"/>
        <v>0</v>
      </c>
      <c r="O190" s="741">
        <f t="shared" si="93"/>
        <v>0</v>
      </c>
    </row>
    <row r="191" spans="1:15" s="298" customFormat="1" ht="17.100000000000001" hidden="1" customHeight="1">
      <c r="A191" s="736" t="e">
        <f t="shared" si="78"/>
        <v>#REF!</v>
      </c>
      <c r="B191" s="296" t="s">
        <v>1479</v>
      </c>
      <c r="C191" s="296" t="s">
        <v>1480</v>
      </c>
      <c r="D191" s="297" t="s">
        <v>1472</v>
      </c>
      <c r="E191" s="788"/>
      <c r="F191" s="738" t="e">
        <f>#REF!</f>
        <v>#REF!</v>
      </c>
      <c r="G191" s="738" t="e">
        <f>#REF!</f>
        <v>#REF!</v>
      </c>
      <c r="H191" s="738" t="e">
        <f>#REF!</f>
        <v>#REF!</v>
      </c>
      <c r="I191" s="739" t="e">
        <f>E191*F191</f>
        <v>#REF!</v>
      </c>
      <c r="J191" s="739" t="e">
        <f>E191*G191</f>
        <v>#REF!</v>
      </c>
      <c r="K191" s="740" t="e">
        <f>E191*H191</f>
        <v>#REF!</v>
      </c>
      <c r="L191" s="735" t="e">
        <f t="shared" si="79"/>
        <v>#REF!</v>
      </c>
      <c r="N191" s="741" t="e">
        <f t="shared" si="92"/>
        <v>#REF!</v>
      </c>
      <c r="O191" s="741" t="e">
        <f t="shared" si="93"/>
        <v>#REF!</v>
      </c>
    </row>
    <row r="192" spans="1:15" s="298" customFormat="1" ht="17.100000000000001" hidden="1" customHeight="1">
      <c r="A192" s="736" t="e">
        <f t="shared" si="78"/>
        <v>#REF!</v>
      </c>
      <c r="B192" s="296" t="s">
        <v>1481</v>
      </c>
      <c r="C192" s="296" t="s">
        <v>1482</v>
      </c>
      <c r="D192" s="297" t="s">
        <v>1475</v>
      </c>
      <c r="E192" s="788"/>
      <c r="F192" s="738" t="e">
        <f>#REF!</f>
        <v>#REF!</v>
      </c>
      <c r="G192" s="738" t="e">
        <f>#REF!</f>
        <v>#REF!</v>
      </c>
      <c r="H192" s="738" t="e">
        <f>#REF!</f>
        <v>#REF!</v>
      </c>
      <c r="I192" s="739" t="e">
        <f>E192*F192</f>
        <v>#REF!</v>
      </c>
      <c r="J192" s="739" t="e">
        <f>E192*G192</f>
        <v>#REF!</v>
      </c>
      <c r="K192" s="740" t="e">
        <f>E192*H192</f>
        <v>#REF!</v>
      </c>
      <c r="L192" s="735" t="e">
        <f t="shared" si="79"/>
        <v>#REF!</v>
      </c>
      <c r="N192" s="741" t="e">
        <f t="shared" si="92"/>
        <v>#REF!</v>
      </c>
      <c r="O192" s="741" t="e">
        <f t="shared" si="93"/>
        <v>#REF!</v>
      </c>
    </row>
    <row r="193" spans="1:15" s="298" customFormat="1" ht="17.100000000000001" hidden="1" customHeight="1">
      <c r="A193" s="736" t="e">
        <f t="shared" si="78"/>
        <v>#REF!</v>
      </c>
      <c r="B193" s="296" t="s">
        <v>1483</v>
      </c>
      <c r="C193" s="296" t="s">
        <v>1484</v>
      </c>
      <c r="D193" s="297" t="s">
        <v>1472</v>
      </c>
      <c r="E193" s="788"/>
      <c r="F193" s="738" t="e">
        <f>#REF!</f>
        <v>#REF!</v>
      </c>
      <c r="G193" s="738" t="e">
        <f>#REF!</f>
        <v>#REF!</v>
      </c>
      <c r="H193" s="738" t="e">
        <f>#REF!</f>
        <v>#REF!</v>
      </c>
      <c r="I193" s="739" t="e">
        <f>E193*F193</f>
        <v>#REF!</v>
      </c>
      <c r="J193" s="739" t="e">
        <f>E193*G193</f>
        <v>#REF!</v>
      </c>
      <c r="K193" s="740" t="e">
        <f>E193*H193</f>
        <v>#REF!</v>
      </c>
      <c r="L193" s="735" t="e">
        <f t="shared" si="79"/>
        <v>#REF!</v>
      </c>
      <c r="N193" s="741" t="e">
        <f t="shared" si="92"/>
        <v>#REF!</v>
      </c>
      <c r="O193" s="741" t="e">
        <f t="shared" si="93"/>
        <v>#REF!</v>
      </c>
    </row>
    <row r="194" spans="1:15" s="298" customFormat="1" ht="17.100000000000001" hidden="1" customHeight="1">
      <c r="A194" s="736" t="e">
        <f t="shared" si="78"/>
        <v>#REF!</v>
      </c>
      <c r="B194" s="296" t="s">
        <v>0</v>
      </c>
      <c r="C194" s="742" t="s">
        <v>1485</v>
      </c>
      <c r="D194" s="297" t="s">
        <v>0</v>
      </c>
      <c r="E194" s="788"/>
      <c r="F194" s="738"/>
      <c r="G194" s="738"/>
      <c r="H194" s="738"/>
      <c r="I194" s="739"/>
      <c r="J194" s="739"/>
      <c r="K194" s="740"/>
      <c r="L194" s="735">
        <f t="shared" si="79"/>
        <v>0</v>
      </c>
      <c r="N194" s="741">
        <f t="shared" si="92"/>
        <v>0</v>
      </c>
      <c r="O194" s="741">
        <f t="shared" si="93"/>
        <v>0</v>
      </c>
    </row>
    <row r="195" spans="1:15" s="298" customFormat="1" ht="17.100000000000001" hidden="1" customHeight="1">
      <c r="A195" s="736" t="e">
        <f t="shared" si="78"/>
        <v>#REF!</v>
      </c>
      <c r="B195" s="296" t="s">
        <v>1486</v>
      </c>
      <c r="C195" s="296" t="s">
        <v>1487</v>
      </c>
      <c r="D195" s="297" t="s">
        <v>59</v>
      </c>
      <c r="E195" s="788"/>
      <c r="F195" s="738" t="e">
        <f>#REF!</f>
        <v>#REF!</v>
      </c>
      <c r="G195" s="738" t="e">
        <f>#REF!</f>
        <v>#REF!</v>
      </c>
      <c r="H195" s="738" t="e">
        <f>#REF!</f>
        <v>#REF!</v>
      </c>
      <c r="I195" s="739" t="e">
        <f>E195*F195</f>
        <v>#REF!</v>
      </c>
      <c r="J195" s="739" t="e">
        <f>E195*G195</f>
        <v>#REF!</v>
      </c>
      <c r="K195" s="740" t="e">
        <f>E195*H195</f>
        <v>#REF!</v>
      </c>
      <c r="L195" s="735" t="e">
        <f t="shared" si="79"/>
        <v>#REF!</v>
      </c>
      <c r="N195" s="741" t="e">
        <f t="shared" si="92"/>
        <v>#REF!</v>
      </c>
      <c r="O195" s="741" t="e">
        <f t="shared" si="93"/>
        <v>#REF!</v>
      </c>
    </row>
    <row r="196" spans="1:15" s="298" customFormat="1" ht="17.100000000000001" hidden="1" customHeight="1">
      <c r="A196" s="736" t="e">
        <f t="shared" si="78"/>
        <v>#REF!</v>
      </c>
      <c r="B196" s="296" t="s">
        <v>1488</v>
      </c>
      <c r="C196" s="296" t="s">
        <v>1489</v>
      </c>
      <c r="D196" s="297" t="s">
        <v>2</v>
      </c>
      <c r="E196" s="788"/>
      <c r="F196" s="738" t="e">
        <f>#REF!</f>
        <v>#REF!</v>
      </c>
      <c r="G196" s="738" t="e">
        <f>#REF!</f>
        <v>#REF!</v>
      </c>
      <c r="H196" s="738"/>
      <c r="I196" s="739" t="e">
        <f>E196*F196</f>
        <v>#REF!</v>
      </c>
      <c r="J196" s="739" t="e">
        <f>E196*G196</f>
        <v>#REF!</v>
      </c>
      <c r="K196" s="740">
        <f>E196*H196</f>
        <v>0</v>
      </c>
      <c r="L196" s="735" t="e">
        <f t="shared" si="79"/>
        <v>#REF!</v>
      </c>
      <c r="N196" s="741" t="e">
        <f t="shared" si="92"/>
        <v>#REF!</v>
      </c>
      <c r="O196" s="741" t="e">
        <f t="shared" si="93"/>
        <v>#REF!</v>
      </c>
    </row>
    <row r="197" spans="1:15" s="298" customFormat="1" ht="17.100000000000001" hidden="1" customHeight="1">
      <c r="A197" s="736" t="e">
        <f t="shared" si="78"/>
        <v>#REF!</v>
      </c>
      <c r="B197" s="296"/>
      <c r="C197" s="742" t="s">
        <v>1727</v>
      </c>
      <c r="D197" s="297" t="s">
        <v>0</v>
      </c>
      <c r="E197" s="788"/>
      <c r="F197" s="738"/>
      <c r="G197" s="738"/>
      <c r="H197" s="738"/>
      <c r="I197" s="739">
        <f t="shared" ref="I197:I200" si="101">E197*F197</f>
        <v>0</v>
      </c>
      <c r="J197" s="739">
        <f t="shared" ref="J197:J200" si="102">E197*G197</f>
        <v>0</v>
      </c>
      <c r="K197" s="740">
        <f t="shared" ref="K197:K200" si="103">E197*H197</f>
        <v>0</v>
      </c>
      <c r="L197" s="735">
        <f t="shared" si="79"/>
        <v>0</v>
      </c>
      <c r="N197" s="741">
        <f t="shared" ref="N197:N201" si="104">SUM(F197:H197)*1.278</f>
        <v>0</v>
      </c>
      <c r="O197" s="741">
        <f t="shared" ref="O197:O201" si="105">N197*E197</f>
        <v>0</v>
      </c>
    </row>
    <row r="198" spans="1:15" s="298" customFormat="1" ht="17.100000000000001" hidden="1" customHeight="1">
      <c r="A198" s="736" t="e">
        <f t="shared" si="78"/>
        <v>#REF!</v>
      </c>
      <c r="B198" s="296" t="s">
        <v>880</v>
      </c>
      <c r="C198" s="296" t="s">
        <v>881</v>
      </c>
      <c r="D198" s="297" t="s">
        <v>7</v>
      </c>
      <c r="E198" s="788"/>
      <c r="F198" s="738" t="e">
        <f>#REF!</f>
        <v>#REF!</v>
      </c>
      <c r="G198" s="738" t="e">
        <f>#REF!</f>
        <v>#REF!</v>
      </c>
      <c r="H198" s="738" t="e">
        <f>#REF!</f>
        <v>#REF!</v>
      </c>
      <c r="I198" s="739" t="e">
        <f t="shared" si="101"/>
        <v>#REF!</v>
      </c>
      <c r="J198" s="739" t="e">
        <f t="shared" si="102"/>
        <v>#REF!</v>
      </c>
      <c r="K198" s="740" t="e">
        <f t="shared" si="103"/>
        <v>#REF!</v>
      </c>
      <c r="L198" s="735" t="e">
        <f t="shared" si="79"/>
        <v>#REF!</v>
      </c>
      <c r="N198" s="741" t="e">
        <f t="shared" si="104"/>
        <v>#REF!</v>
      </c>
      <c r="O198" s="741" t="e">
        <f t="shared" si="105"/>
        <v>#REF!</v>
      </c>
    </row>
    <row r="199" spans="1:15" s="298" customFormat="1" ht="17.100000000000001" hidden="1" customHeight="1">
      <c r="A199" s="736" t="e">
        <f t="shared" si="78"/>
        <v>#REF!</v>
      </c>
      <c r="B199" s="296" t="s">
        <v>882</v>
      </c>
      <c r="C199" s="296" t="s">
        <v>883</v>
      </c>
      <c r="D199" s="297" t="s">
        <v>7</v>
      </c>
      <c r="E199" s="788"/>
      <c r="F199" s="738"/>
      <c r="G199" s="738" t="e">
        <f>#REF!</f>
        <v>#REF!</v>
      </c>
      <c r="H199" s="738" t="e">
        <f>#REF!</f>
        <v>#REF!</v>
      </c>
      <c r="I199" s="739">
        <f t="shared" si="101"/>
        <v>0</v>
      </c>
      <c r="J199" s="739" t="e">
        <f t="shared" si="102"/>
        <v>#REF!</v>
      </c>
      <c r="K199" s="740" t="e">
        <f t="shared" si="103"/>
        <v>#REF!</v>
      </c>
      <c r="L199" s="735" t="e">
        <f t="shared" si="79"/>
        <v>#REF!</v>
      </c>
      <c r="N199" s="741" t="e">
        <f t="shared" si="104"/>
        <v>#REF!</v>
      </c>
      <c r="O199" s="741" t="e">
        <f t="shared" si="105"/>
        <v>#REF!</v>
      </c>
    </row>
    <row r="200" spans="1:15" s="298" customFormat="1" ht="17.100000000000001" hidden="1" customHeight="1">
      <c r="A200" s="736" t="e">
        <f t="shared" si="78"/>
        <v>#REF!</v>
      </c>
      <c r="B200" s="296" t="s">
        <v>1492</v>
      </c>
      <c r="C200" s="296" t="s">
        <v>885</v>
      </c>
      <c r="D200" s="297" t="s">
        <v>2</v>
      </c>
      <c r="E200" s="788"/>
      <c r="F200" s="738"/>
      <c r="G200" s="738"/>
      <c r="H200" s="738" t="e">
        <f>#REF!</f>
        <v>#REF!</v>
      </c>
      <c r="I200" s="739">
        <f t="shared" si="101"/>
        <v>0</v>
      </c>
      <c r="J200" s="739">
        <f t="shared" si="102"/>
        <v>0</v>
      </c>
      <c r="K200" s="740" t="e">
        <f t="shared" si="103"/>
        <v>#REF!</v>
      </c>
      <c r="L200" s="735" t="e">
        <f t="shared" si="79"/>
        <v>#REF!</v>
      </c>
      <c r="N200" s="741" t="e">
        <f t="shared" si="104"/>
        <v>#REF!</v>
      </c>
      <c r="O200" s="741" t="e">
        <f t="shared" si="105"/>
        <v>#REF!</v>
      </c>
    </row>
    <row r="201" spans="1:15" s="298" customFormat="1" ht="17.100000000000001" hidden="1" customHeight="1">
      <c r="A201" s="736" t="e">
        <f t="shared" si="78"/>
        <v>#REF!</v>
      </c>
      <c r="B201" s="296" t="s">
        <v>872</v>
      </c>
      <c r="C201" s="296" t="s">
        <v>886</v>
      </c>
      <c r="D201" s="297" t="s">
        <v>874</v>
      </c>
      <c r="E201" s="788"/>
      <c r="F201" s="738"/>
      <c r="G201" s="738"/>
      <c r="H201" s="738" t="e">
        <f>#REF!</f>
        <v>#REF!</v>
      </c>
      <c r="I201" s="739">
        <f>E201*F201</f>
        <v>0</v>
      </c>
      <c r="J201" s="739">
        <f>E201*G201</f>
        <v>0</v>
      </c>
      <c r="K201" s="740" t="e">
        <f>E201*H201</f>
        <v>#REF!</v>
      </c>
      <c r="L201" s="735" t="e">
        <f t="shared" si="79"/>
        <v>#REF!</v>
      </c>
      <c r="N201" s="741" t="e">
        <f t="shared" si="104"/>
        <v>#REF!</v>
      </c>
      <c r="O201" s="741" t="e">
        <f t="shared" si="105"/>
        <v>#REF!</v>
      </c>
    </row>
    <row r="202" spans="1:15" s="298" customFormat="1" ht="17.100000000000001" hidden="1" customHeight="1">
      <c r="A202" s="736" t="e">
        <f t="shared" ref="A202:A265" si="106">IF(SUM(F202:H202)&lt;&gt;0,A201+L202,A201)</f>
        <v>#REF!</v>
      </c>
      <c r="B202" s="296"/>
      <c r="C202" s="742" t="s">
        <v>1728</v>
      </c>
      <c r="D202" s="297" t="s">
        <v>0</v>
      </c>
      <c r="E202" s="788"/>
      <c r="F202" s="738"/>
      <c r="G202" s="738"/>
      <c r="H202" s="738"/>
      <c r="I202" s="739">
        <f t="shared" ref="I202:I208" si="107">E202*F202</f>
        <v>0</v>
      </c>
      <c r="J202" s="739">
        <f t="shared" ref="J202:J208" si="108">E202*G202</f>
        <v>0</v>
      </c>
      <c r="K202" s="740">
        <f t="shared" ref="K202:K208" si="109">E202*H202</f>
        <v>0</v>
      </c>
      <c r="L202" s="735">
        <f t="shared" ref="L202:L293" si="110">IF(OR(SUM(I202:K202)&lt;&gt;0,B202="*"),$L$5,0)</f>
        <v>0</v>
      </c>
      <c r="N202" s="741">
        <f t="shared" si="92"/>
        <v>0</v>
      </c>
      <c r="O202" s="741" t="e">
        <f>SUM(O205:O246)</f>
        <v>#REF!</v>
      </c>
    </row>
    <row r="203" spans="1:15" s="298" customFormat="1" ht="17.100000000000001" hidden="1" customHeight="1">
      <c r="A203" s="736" t="e">
        <f t="shared" si="106"/>
        <v>#REF!</v>
      </c>
      <c r="B203" s="296"/>
      <c r="C203" s="742" t="s">
        <v>1729</v>
      </c>
      <c r="D203" s="297"/>
      <c r="E203" s="788"/>
      <c r="F203" s="738"/>
      <c r="G203" s="738"/>
      <c r="H203" s="738"/>
      <c r="I203" s="739">
        <f t="shared" si="107"/>
        <v>0</v>
      </c>
      <c r="J203" s="739">
        <f t="shared" si="108"/>
        <v>0</v>
      </c>
      <c r="K203" s="740">
        <f t="shared" si="109"/>
        <v>0</v>
      </c>
      <c r="L203" s="735">
        <f t="shared" si="110"/>
        <v>0</v>
      </c>
      <c r="N203" s="741"/>
      <c r="O203" s="741"/>
    </row>
    <row r="204" spans="1:15" s="298" customFormat="1" ht="17.100000000000001" hidden="1" customHeight="1">
      <c r="A204" s="736" t="e">
        <f t="shared" si="106"/>
        <v>#REF!</v>
      </c>
      <c r="B204" s="296" t="s">
        <v>611</v>
      </c>
      <c r="C204" s="296" t="s">
        <v>863</v>
      </c>
      <c r="D204" s="297" t="s">
        <v>2</v>
      </c>
      <c r="E204" s="788"/>
      <c r="F204" s="738"/>
      <c r="G204" s="738" t="e">
        <f>#REF!</f>
        <v>#REF!</v>
      </c>
      <c r="H204" s="738" t="e">
        <f>#REF!</f>
        <v>#REF!</v>
      </c>
      <c r="I204" s="739">
        <f t="shared" si="107"/>
        <v>0</v>
      </c>
      <c r="J204" s="739" t="e">
        <f t="shared" si="108"/>
        <v>#REF!</v>
      </c>
      <c r="K204" s="740" t="e">
        <f t="shared" si="109"/>
        <v>#REF!</v>
      </c>
      <c r="L204" s="735" t="e">
        <f t="shared" si="110"/>
        <v>#REF!</v>
      </c>
      <c r="N204" s="741" t="e">
        <f t="shared" si="92"/>
        <v>#REF!</v>
      </c>
      <c r="O204" s="741" t="e">
        <f t="shared" si="93"/>
        <v>#REF!</v>
      </c>
    </row>
    <row r="205" spans="1:15" s="298" customFormat="1" ht="17.100000000000001" hidden="1" customHeight="1">
      <c r="A205" s="736" t="e">
        <f t="shared" si="106"/>
        <v>#REF!</v>
      </c>
      <c r="B205" s="296" t="s">
        <v>616</v>
      </c>
      <c r="C205" s="296" t="s">
        <v>864</v>
      </c>
      <c r="D205" s="297" t="s">
        <v>2</v>
      </c>
      <c r="E205" s="788"/>
      <c r="F205" s="738"/>
      <c r="G205" s="738" t="e">
        <f>#REF!</f>
        <v>#REF!</v>
      </c>
      <c r="H205" s="738" t="e">
        <f>#REF!</f>
        <v>#REF!</v>
      </c>
      <c r="I205" s="739">
        <f t="shared" si="107"/>
        <v>0</v>
      </c>
      <c r="J205" s="739" t="e">
        <f t="shared" si="108"/>
        <v>#REF!</v>
      </c>
      <c r="K205" s="740" t="e">
        <f t="shared" si="109"/>
        <v>#REF!</v>
      </c>
      <c r="L205" s="735" t="e">
        <f t="shared" si="110"/>
        <v>#REF!</v>
      </c>
      <c r="N205" s="741" t="e">
        <f t="shared" ref="N205:N208" si="111">SUM(F205:H205)*1.278</f>
        <v>#REF!</v>
      </c>
      <c r="O205" s="741" t="e">
        <f t="shared" ref="O205:O208" si="112">N205*E205</f>
        <v>#REF!</v>
      </c>
    </row>
    <row r="206" spans="1:15" s="298" customFormat="1" ht="17.100000000000001" hidden="1" customHeight="1">
      <c r="A206" s="736" t="e">
        <f t="shared" si="106"/>
        <v>#REF!</v>
      </c>
      <c r="B206" s="296" t="s">
        <v>600</v>
      </c>
      <c r="C206" s="296" t="s">
        <v>865</v>
      </c>
      <c r="D206" s="297" t="s">
        <v>2</v>
      </c>
      <c r="E206" s="788"/>
      <c r="F206" s="738" t="e">
        <f>#REF!</f>
        <v>#REF!</v>
      </c>
      <c r="G206" s="738"/>
      <c r="H206" s="738"/>
      <c r="I206" s="739" t="e">
        <f t="shared" si="107"/>
        <v>#REF!</v>
      </c>
      <c r="J206" s="739">
        <f t="shared" si="108"/>
        <v>0</v>
      </c>
      <c r="K206" s="740">
        <f t="shared" si="109"/>
        <v>0</v>
      </c>
      <c r="L206" s="735" t="e">
        <f t="shared" si="110"/>
        <v>#REF!</v>
      </c>
      <c r="N206" s="741" t="e">
        <f t="shared" si="111"/>
        <v>#REF!</v>
      </c>
      <c r="O206" s="741" t="e">
        <f t="shared" si="112"/>
        <v>#REF!</v>
      </c>
    </row>
    <row r="207" spans="1:15" s="298" customFormat="1" ht="17.100000000000001" hidden="1" customHeight="1">
      <c r="A207" s="736" t="e">
        <f t="shared" si="106"/>
        <v>#REF!</v>
      </c>
      <c r="B207" s="296" t="s">
        <v>22</v>
      </c>
      <c r="C207" s="296" t="s">
        <v>1677</v>
      </c>
      <c r="D207" s="297" t="s">
        <v>2</v>
      </c>
      <c r="E207" s="788"/>
      <c r="F207" s="738" t="e">
        <f>#REF!</f>
        <v>#REF!</v>
      </c>
      <c r="G207" s="738" t="e">
        <f>#REF!</f>
        <v>#REF!</v>
      </c>
      <c r="H207" s="738" t="e">
        <f>#REF!</f>
        <v>#REF!</v>
      </c>
      <c r="I207" s="739" t="e">
        <f t="shared" si="107"/>
        <v>#REF!</v>
      </c>
      <c r="J207" s="739" t="e">
        <f t="shared" si="108"/>
        <v>#REF!</v>
      </c>
      <c r="K207" s="740" t="e">
        <f t="shared" si="109"/>
        <v>#REF!</v>
      </c>
      <c r="L207" s="735" t="e">
        <f t="shared" si="110"/>
        <v>#REF!</v>
      </c>
      <c r="N207" s="741" t="e">
        <f t="shared" si="111"/>
        <v>#REF!</v>
      </c>
      <c r="O207" s="741" t="e">
        <f t="shared" si="112"/>
        <v>#REF!</v>
      </c>
    </row>
    <row r="208" spans="1:15" s="298" customFormat="1" ht="17.100000000000001" hidden="1" customHeight="1">
      <c r="A208" s="736" t="e">
        <f t="shared" si="106"/>
        <v>#REF!</v>
      </c>
      <c r="B208" s="783" t="s">
        <v>1661</v>
      </c>
      <c r="C208" s="783" t="s">
        <v>1662</v>
      </c>
      <c r="D208" s="784" t="s">
        <v>9</v>
      </c>
      <c r="E208" s="842"/>
      <c r="F208" s="785" t="e">
        <f>#REF!</f>
        <v>#REF!</v>
      </c>
      <c r="G208" s="785" t="e">
        <f>#REF!</f>
        <v>#REF!</v>
      </c>
      <c r="H208" s="785" t="e">
        <f>#REF!</f>
        <v>#REF!</v>
      </c>
      <c r="I208" s="739" t="e">
        <f t="shared" si="107"/>
        <v>#REF!</v>
      </c>
      <c r="J208" s="739" t="e">
        <f t="shared" si="108"/>
        <v>#REF!</v>
      </c>
      <c r="K208" s="740" t="e">
        <f t="shared" si="109"/>
        <v>#REF!</v>
      </c>
      <c r="L208" s="735" t="e">
        <f t="shared" si="110"/>
        <v>#REF!</v>
      </c>
      <c r="N208" s="741" t="e">
        <f t="shared" si="111"/>
        <v>#REF!</v>
      </c>
      <c r="O208" s="741" t="e">
        <f t="shared" si="112"/>
        <v>#REF!</v>
      </c>
    </row>
    <row r="209" spans="1:15" s="298" customFormat="1" ht="17.100000000000001" hidden="1" customHeight="1">
      <c r="A209" s="736" t="e">
        <f t="shared" si="106"/>
        <v>#REF!</v>
      </c>
      <c r="B209" s="758"/>
      <c r="C209" s="787" t="s">
        <v>1730</v>
      </c>
      <c r="D209" s="774"/>
      <c r="E209" s="834"/>
      <c r="F209" s="760"/>
      <c r="G209" s="760"/>
      <c r="H209" s="760"/>
      <c r="I209" s="733"/>
      <c r="J209" s="733"/>
      <c r="K209" s="734"/>
      <c r="L209" s="735">
        <f t="shared" si="110"/>
        <v>0</v>
      </c>
      <c r="N209" s="741"/>
      <c r="O209" s="741"/>
    </row>
    <row r="210" spans="1:15" s="298" customFormat="1" ht="17.100000000000001" hidden="1" customHeight="1">
      <c r="A210" s="736" t="e">
        <f t="shared" si="106"/>
        <v>#REF!</v>
      </c>
      <c r="B210" s="296" t="s">
        <v>867</v>
      </c>
      <c r="C210" s="296" t="s">
        <v>1490</v>
      </c>
      <c r="D210" s="297" t="s">
        <v>2</v>
      </c>
      <c r="E210" s="833"/>
      <c r="F210" s="738"/>
      <c r="G210" s="738" t="e">
        <f>#REF!</f>
        <v>#REF!</v>
      </c>
      <c r="H210" s="738" t="e">
        <f>#REF!</f>
        <v>#REF!</v>
      </c>
      <c r="I210" s="739">
        <f t="shared" ref="I210:I223" si="113">E210*F210</f>
        <v>0</v>
      </c>
      <c r="J210" s="739" t="e">
        <f t="shared" ref="J210:J223" si="114">E210*G210</f>
        <v>#REF!</v>
      </c>
      <c r="K210" s="740" t="e">
        <f t="shared" ref="K210:K223" si="115">E210*H210</f>
        <v>#REF!</v>
      </c>
      <c r="L210" s="735" t="e">
        <f t="shared" si="110"/>
        <v>#REF!</v>
      </c>
      <c r="N210" s="741" t="e">
        <f t="shared" si="92"/>
        <v>#REF!</v>
      </c>
      <c r="O210" s="741" t="e">
        <f t="shared" si="93"/>
        <v>#REF!</v>
      </c>
    </row>
    <row r="211" spans="1:15" s="298" customFormat="1" ht="17.100000000000001" hidden="1" customHeight="1">
      <c r="A211" s="736" t="e">
        <f t="shared" si="106"/>
        <v>#REF!</v>
      </c>
      <c r="B211" s="296" t="s">
        <v>572</v>
      </c>
      <c r="C211" s="296" t="s">
        <v>1490</v>
      </c>
      <c r="D211" s="297" t="s">
        <v>2</v>
      </c>
      <c r="E211" s="833"/>
      <c r="F211" s="738"/>
      <c r="G211" s="738" t="e">
        <f>#REF!</f>
        <v>#REF!</v>
      </c>
      <c r="H211" s="738"/>
      <c r="I211" s="739">
        <f t="shared" si="113"/>
        <v>0</v>
      </c>
      <c r="J211" s="739" t="e">
        <f t="shared" si="114"/>
        <v>#REF!</v>
      </c>
      <c r="K211" s="740">
        <f t="shared" si="115"/>
        <v>0</v>
      </c>
      <c r="L211" s="735" t="e">
        <f t="shared" si="110"/>
        <v>#REF!</v>
      </c>
      <c r="N211" s="741" t="e">
        <f t="shared" si="92"/>
        <v>#REF!</v>
      </c>
      <c r="O211" s="741" t="e">
        <f t="shared" si="93"/>
        <v>#REF!</v>
      </c>
    </row>
    <row r="212" spans="1:15" s="298" customFormat="1" ht="17.100000000000001" hidden="1" customHeight="1">
      <c r="A212" s="736" t="e">
        <f t="shared" si="106"/>
        <v>#REF!</v>
      </c>
      <c r="B212" s="296" t="s">
        <v>713</v>
      </c>
      <c r="C212" s="296" t="s">
        <v>869</v>
      </c>
      <c r="D212" s="297" t="s">
        <v>2</v>
      </c>
      <c r="E212" s="833"/>
      <c r="F212" s="738" t="e">
        <f>#REF!</f>
        <v>#REF!</v>
      </c>
      <c r="G212" s="738" t="e">
        <f>#REF!</f>
        <v>#REF!</v>
      </c>
      <c r="H212" s="738"/>
      <c r="I212" s="739" t="e">
        <f t="shared" si="113"/>
        <v>#REF!</v>
      </c>
      <c r="J212" s="739" t="e">
        <f t="shared" si="114"/>
        <v>#REF!</v>
      </c>
      <c r="K212" s="740">
        <f t="shared" si="115"/>
        <v>0</v>
      </c>
      <c r="L212" s="735" t="e">
        <f t="shared" si="110"/>
        <v>#REF!</v>
      </c>
      <c r="N212" s="741" t="e">
        <f t="shared" si="92"/>
        <v>#REF!</v>
      </c>
      <c r="O212" s="741" t="e">
        <f t="shared" si="93"/>
        <v>#REF!</v>
      </c>
    </row>
    <row r="213" spans="1:15" s="298" customFormat="1" ht="17.100000000000001" hidden="1" customHeight="1">
      <c r="A213" s="736" t="e">
        <f t="shared" si="106"/>
        <v>#REF!</v>
      </c>
      <c r="B213" s="296" t="s">
        <v>786</v>
      </c>
      <c r="C213" s="296" t="s">
        <v>787</v>
      </c>
      <c r="D213" s="297" t="s">
        <v>747</v>
      </c>
      <c r="E213" s="833"/>
      <c r="F213" s="738" t="e">
        <f>#REF!</f>
        <v>#REF!</v>
      </c>
      <c r="G213" s="738" t="e">
        <f>#REF!</f>
        <v>#REF!</v>
      </c>
      <c r="H213" s="738" t="e">
        <f>#REF!</f>
        <v>#REF!</v>
      </c>
      <c r="I213" s="739" t="e">
        <f t="shared" si="113"/>
        <v>#REF!</v>
      </c>
      <c r="J213" s="739" t="e">
        <f t="shared" si="114"/>
        <v>#REF!</v>
      </c>
      <c r="K213" s="740" t="e">
        <f t="shared" si="115"/>
        <v>#REF!</v>
      </c>
      <c r="L213" s="735" t="e">
        <f t="shared" si="110"/>
        <v>#REF!</v>
      </c>
      <c r="N213" s="741" t="e">
        <f t="shared" si="92"/>
        <v>#REF!</v>
      </c>
      <c r="O213" s="741" t="e">
        <f t="shared" si="93"/>
        <v>#REF!</v>
      </c>
    </row>
    <row r="214" spans="1:15" s="298" customFormat="1" ht="17.100000000000001" hidden="1" customHeight="1">
      <c r="A214" s="736" t="e">
        <f t="shared" si="106"/>
        <v>#REF!</v>
      </c>
      <c r="B214" s="296" t="s">
        <v>793</v>
      </c>
      <c r="C214" s="296" t="s">
        <v>794</v>
      </c>
      <c r="D214" s="297" t="s">
        <v>754</v>
      </c>
      <c r="E214" s="833"/>
      <c r="F214" s="738" t="e">
        <f>#REF!</f>
        <v>#REF!</v>
      </c>
      <c r="G214" s="738" t="e">
        <f>#REF!</f>
        <v>#REF!</v>
      </c>
      <c r="H214" s="738"/>
      <c r="I214" s="739" t="e">
        <f t="shared" si="113"/>
        <v>#REF!</v>
      </c>
      <c r="J214" s="739" t="e">
        <f t="shared" si="114"/>
        <v>#REF!</v>
      </c>
      <c r="K214" s="740">
        <f t="shared" si="115"/>
        <v>0</v>
      </c>
      <c r="L214" s="735" t="e">
        <f t="shared" si="110"/>
        <v>#REF!</v>
      </c>
      <c r="N214" s="741" t="e">
        <f t="shared" si="92"/>
        <v>#REF!</v>
      </c>
      <c r="O214" s="741" t="e">
        <f t="shared" si="93"/>
        <v>#REF!</v>
      </c>
    </row>
    <row r="215" spans="1:15" s="298" customFormat="1" ht="17.100000000000001" hidden="1" customHeight="1">
      <c r="A215" s="736" t="e">
        <f t="shared" si="106"/>
        <v>#REF!</v>
      </c>
      <c r="B215" s="296" t="s">
        <v>750</v>
      </c>
      <c r="C215" s="296" t="s">
        <v>792</v>
      </c>
      <c r="D215" s="297" t="s">
        <v>747</v>
      </c>
      <c r="E215" s="833"/>
      <c r="F215" s="738" t="e">
        <f>#REF!</f>
        <v>#REF!</v>
      </c>
      <c r="G215" s="738" t="e">
        <f>#REF!</f>
        <v>#REF!</v>
      </c>
      <c r="H215" s="738" t="e">
        <f>#REF!</f>
        <v>#REF!</v>
      </c>
      <c r="I215" s="739" t="e">
        <f t="shared" si="113"/>
        <v>#REF!</v>
      </c>
      <c r="J215" s="739" t="e">
        <f t="shared" si="114"/>
        <v>#REF!</v>
      </c>
      <c r="K215" s="740" t="e">
        <f t="shared" si="115"/>
        <v>#REF!</v>
      </c>
      <c r="L215" s="735" t="e">
        <f t="shared" si="110"/>
        <v>#REF!</v>
      </c>
      <c r="N215" s="741" t="e">
        <f t="shared" si="92"/>
        <v>#REF!</v>
      </c>
      <c r="O215" s="741" t="e">
        <f t="shared" si="93"/>
        <v>#REF!</v>
      </c>
    </row>
    <row r="216" spans="1:15" s="298" customFormat="1" ht="17.100000000000001" hidden="1" customHeight="1">
      <c r="A216" s="736" t="e">
        <f t="shared" si="106"/>
        <v>#REF!</v>
      </c>
      <c r="B216" s="296" t="s">
        <v>757</v>
      </c>
      <c r="C216" s="296" t="s">
        <v>758</v>
      </c>
      <c r="D216" s="297" t="s">
        <v>754</v>
      </c>
      <c r="E216" s="833"/>
      <c r="F216" s="738" t="e">
        <f>#REF!</f>
        <v>#REF!</v>
      </c>
      <c r="G216" s="738" t="e">
        <f>#REF!</f>
        <v>#REF!</v>
      </c>
      <c r="H216" s="738"/>
      <c r="I216" s="739" t="e">
        <f t="shared" si="113"/>
        <v>#REF!</v>
      </c>
      <c r="J216" s="739" t="e">
        <f t="shared" si="114"/>
        <v>#REF!</v>
      </c>
      <c r="K216" s="740">
        <f t="shared" si="115"/>
        <v>0</v>
      </c>
      <c r="L216" s="735" t="e">
        <f t="shared" si="110"/>
        <v>#REF!</v>
      </c>
      <c r="N216" s="741" t="e">
        <f t="shared" si="92"/>
        <v>#REF!</v>
      </c>
      <c r="O216" s="741" t="e">
        <f t="shared" si="93"/>
        <v>#REF!</v>
      </c>
    </row>
    <row r="217" spans="1:15" s="298" customFormat="1" ht="17.100000000000001" hidden="1" customHeight="1">
      <c r="A217" s="736" t="e">
        <f t="shared" si="106"/>
        <v>#REF!</v>
      </c>
      <c r="B217" s="296" t="s">
        <v>550</v>
      </c>
      <c r="C217" s="296" t="s">
        <v>812</v>
      </c>
      <c r="D217" s="297" t="s">
        <v>2</v>
      </c>
      <c r="E217" s="833"/>
      <c r="F217" s="738"/>
      <c r="G217" s="738" t="e">
        <f>#REF!</f>
        <v>#REF!</v>
      </c>
      <c r="H217" s="738" t="e">
        <f>#REF!</f>
        <v>#REF!</v>
      </c>
      <c r="I217" s="739">
        <f t="shared" si="113"/>
        <v>0</v>
      </c>
      <c r="J217" s="739" t="e">
        <f t="shared" si="114"/>
        <v>#REF!</v>
      </c>
      <c r="K217" s="740" t="e">
        <f t="shared" si="115"/>
        <v>#REF!</v>
      </c>
      <c r="L217" s="735" t="e">
        <f t="shared" si="110"/>
        <v>#REF!</v>
      </c>
      <c r="N217" s="741" t="e">
        <f t="shared" si="92"/>
        <v>#REF!</v>
      </c>
      <c r="O217" s="741" t="e">
        <f t="shared" si="93"/>
        <v>#REF!</v>
      </c>
    </row>
    <row r="218" spans="1:15" s="298" customFormat="1" ht="17.100000000000001" hidden="1" customHeight="1">
      <c r="A218" s="736" t="e">
        <f t="shared" si="106"/>
        <v>#REF!</v>
      </c>
      <c r="B218" s="296" t="s">
        <v>1462</v>
      </c>
      <c r="C218" s="296" t="s">
        <v>1463</v>
      </c>
      <c r="D218" s="297" t="s">
        <v>1464</v>
      </c>
      <c r="E218" s="842"/>
      <c r="F218" s="738" t="e">
        <f>#REF!</f>
        <v>#REF!</v>
      </c>
      <c r="G218" s="738" t="e">
        <f>#REF!</f>
        <v>#REF!</v>
      </c>
      <c r="H218" s="738"/>
      <c r="I218" s="739" t="e">
        <f t="shared" si="113"/>
        <v>#REF!</v>
      </c>
      <c r="J218" s="739" t="e">
        <f t="shared" si="114"/>
        <v>#REF!</v>
      </c>
      <c r="K218" s="740">
        <f t="shared" si="115"/>
        <v>0</v>
      </c>
      <c r="L218" s="735" t="e">
        <f t="shared" si="110"/>
        <v>#REF!</v>
      </c>
      <c r="N218" s="741" t="e">
        <f t="shared" ref="N218" si="116">SUM(F218:H218)*1.278</f>
        <v>#REF!</v>
      </c>
      <c r="O218" s="741" t="e">
        <f t="shared" ref="O218" si="117">N218*E218</f>
        <v>#REF!</v>
      </c>
    </row>
    <row r="219" spans="1:15" s="298" customFormat="1" ht="17.100000000000001" hidden="1" customHeight="1">
      <c r="A219" s="736" t="e">
        <f t="shared" si="106"/>
        <v>#REF!</v>
      </c>
      <c r="B219" s="296" t="s">
        <v>809</v>
      </c>
      <c r="C219" s="296" t="s">
        <v>853</v>
      </c>
      <c r="D219" s="297" t="s">
        <v>551</v>
      </c>
      <c r="E219" s="833"/>
      <c r="F219" s="738" t="e">
        <f>#REF!</f>
        <v>#REF!</v>
      </c>
      <c r="G219" s="738" t="e">
        <f>#REF!</f>
        <v>#REF!</v>
      </c>
      <c r="H219" s="738"/>
      <c r="I219" s="739" t="e">
        <f t="shared" si="113"/>
        <v>#REF!</v>
      </c>
      <c r="J219" s="739" t="e">
        <f t="shared" si="114"/>
        <v>#REF!</v>
      </c>
      <c r="K219" s="740">
        <f t="shared" si="115"/>
        <v>0</v>
      </c>
      <c r="L219" s="735" t="e">
        <f t="shared" si="110"/>
        <v>#REF!</v>
      </c>
      <c r="N219" s="741" t="e">
        <f t="shared" si="92"/>
        <v>#REF!</v>
      </c>
      <c r="O219" s="741" t="e">
        <f t="shared" si="93"/>
        <v>#REF!</v>
      </c>
    </row>
    <row r="220" spans="1:15" s="298" customFormat="1" ht="17.100000000000001" hidden="1" customHeight="1">
      <c r="A220" s="736" t="e">
        <f t="shared" si="106"/>
        <v>#REF!</v>
      </c>
      <c r="B220" s="296" t="s">
        <v>870</v>
      </c>
      <c r="C220" s="296" t="s">
        <v>871</v>
      </c>
      <c r="D220" s="297" t="s">
        <v>2</v>
      </c>
      <c r="E220" s="833"/>
      <c r="F220" s="738"/>
      <c r="G220" s="738" t="e">
        <f>#REF!</f>
        <v>#REF!</v>
      </c>
      <c r="H220" s="738" t="e">
        <f>#REF!</f>
        <v>#REF!</v>
      </c>
      <c r="I220" s="739">
        <f t="shared" si="113"/>
        <v>0</v>
      </c>
      <c r="J220" s="739" t="e">
        <f t="shared" si="114"/>
        <v>#REF!</v>
      </c>
      <c r="K220" s="740" t="e">
        <f t="shared" si="115"/>
        <v>#REF!</v>
      </c>
      <c r="L220" s="735" t="e">
        <f t="shared" si="110"/>
        <v>#REF!</v>
      </c>
      <c r="N220" s="741" t="e">
        <f t="shared" si="92"/>
        <v>#REF!</v>
      </c>
      <c r="O220" s="741" t="e">
        <f t="shared" si="93"/>
        <v>#REF!</v>
      </c>
    </row>
    <row r="221" spans="1:15" s="298" customFormat="1" ht="17.100000000000001" hidden="1" customHeight="1">
      <c r="A221" s="736" t="e">
        <f t="shared" si="106"/>
        <v>#REF!</v>
      </c>
      <c r="B221" s="296" t="s">
        <v>872</v>
      </c>
      <c r="C221" s="296" t="s">
        <v>873</v>
      </c>
      <c r="D221" s="297" t="s">
        <v>874</v>
      </c>
      <c r="E221" s="833"/>
      <c r="F221" s="738"/>
      <c r="G221" s="738"/>
      <c r="H221" s="738" t="e">
        <f>#REF!</f>
        <v>#REF!</v>
      </c>
      <c r="I221" s="739">
        <f t="shared" si="113"/>
        <v>0</v>
      </c>
      <c r="J221" s="739">
        <f t="shared" si="114"/>
        <v>0</v>
      </c>
      <c r="K221" s="740" t="e">
        <f t="shared" si="115"/>
        <v>#REF!</v>
      </c>
      <c r="L221" s="735" t="e">
        <f t="shared" si="110"/>
        <v>#REF!</v>
      </c>
      <c r="N221" s="741" t="e">
        <f t="shared" si="92"/>
        <v>#REF!</v>
      </c>
      <c r="O221" s="741" t="e">
        <f t="shared" si="93"/>
        <v>#REF!</v>
      </c>
    </row>
    <row r="222" spans="1:15" s="298" customFormat="1" ht="17.100000000000001" hidden="1" customHeight="1">
      <c r="A222" s="736" t="e">
        <f t="shared" si="106"/>
        <v>#REF!</v>
      </c>
      <c r="B222" s="296" t="s">
        <v>617</v>
      </c>
      <c r="C222" s="296" t="s">
        <v>1756</v>
      </c>
      <c r="D222" s="297" t="s">
        <v>2</v>
      </c>
      <c r="E222" s="842"/>
      <c r="F222" s="738"/>
      <c r="G222" s="738" t="e">
        <f>#REF!</f>
        <v>#REF!</v>
      </c>
      <c r="H222" s="738" t="e">
        <f>#REF!</f>
        <v>#REF!</v>
      </c>
      <c r="I222" s="739">
        <f>E222*F222</f>
        <v>0</v>
      </c>
      <c r="J222" s="739" t="e">
        <f>E222*G222</f>
        <v>#REF!</v>
      </c>
      <c r="K222" s="740" t="e">
        <f>E222*H222</f>
        <v>#REF!</v>
      </c>
      <c r="L222" s="735" t="e">
        <f t="shared" si="110"/>
        <v>#REF!</v>
      </c>
      <c r="N222" s="741" t="e">
        <f t="shared" ref="N222" si="118">SUM(F222:H222)*1.278</f>
        <v>#REF!</v>
      </c>
      <c r="O222" s="741" t="e">
        <f t="shared" ref="O222" si="119">N222*E222</f>
        <v>#REF!</v>
      </c>
    </row>
    <row r="223" spans="1:15" s="298" customFormat="1" ht="17.100000000000001" hidden="1" customHeight="1">
      <c r="A223" s="736" t="e">
        <f t="shared" si="106"/>
        <v>#REF!</v>
      </c>
      <c r="B223" s="296" t="s">
        <v>876</v>
      </c>
      <c r="C223" s="296" t="s">
        <v>877</v>
      </c>
      <c r="D223" s="297" t="s">
        <v>1757</v>
      </c>
      <c r="E223" s="833"/>
      <c r="F223" s="738"/>
      <c r="G223" s="738" t="e">
        <f>#REF!</f>
        <v>#REF!</v>
      </c>
      <c r="H223" s="738" t="e">
        <f>#REF!</f>
        <v>#REF!</v>
      </c>
      <c r="I223" s="739">
        <f t="shared" si="113"/>
        <v>0</v>
      </c>
      <c r="J223" s="739" t="e">
        <f t="shared" si="114"/>
        <v>#REF!</v>
      </c>
      <c r="K223" s="740" t="e">
        <f t="shared" si="115"/>
        <v>#REF!</v>
      </c>
      <c r="L223" s="735" t="e">
        <f t="shared" si="110"/>
        <v>#REF!</v>
      </c>
      <c r="N223" s="741" t="e">
        <f t="shared" si="92"/>
        <v>#REF!</v>
      </c>
      <c r="O223" s="741" t="e">
        <f t="shared" si="93"/>
        <v>#REF!</v>
      </c>
    </row>
    <row r="224" spans="1:15" s="298" customFormat="1" ht="17.100000000000001" hidden="1" customHeight="1">
      <c r="A224" s="736" t="e">
        <f t="shared" si="106"/>
        <v>#REF!</v>
      </c>
      <c r="B224" s="296" t="s">
        <v>1491</v>
      </c>
      <c r="C224" s="296" t="s">
        <v>878</v>
      </c>
      <c r="D224" s="297" t="s">
        <v>2</v>
      </c>
      <c r="E224" s="842"/>
      <c r="F224" s="738"/>
      <c r="G224" s="738"/>
      <c r="H224" s="738" t="e">
        <f>#REF!</f>
        <v>#REF!</v>
      </c>
      <c r="I224" s="739">
        <f>E224*F224</f>
        <v>0</v>
      </c>
      <c r="J224" s="739">
        <f>E224*G224</f>
        <v>0</v>
      </c>
      <c r="K224" s="740" t="e">
        <f>E224*H224</f>
        <v>#REF!</v>
      </c>
      <c r="L224" s="735" t="e">
        <f t="shared" si="110"/>
        <v>#REF!</v>
      </c>
      <c r="N224" s="741" t="e">
        <f t="shared" ref="N224" si="120">SUM(F224:H224)*1.278</f>
        <v>#REF!</v>
      </c>
      <c r="O224" s="741" t="e">
        <f t="shared" ref="O224" si="121">N224*E224</f>
        <v>#REF!</v>
      </c>
    </row>
    <row r="225" spans="1:15" s="298" customFormat="1" ht="17.100000000000001" hidden="1" customHeight="1">
      <c r="A225" s="736" t="e">
        <f t="shared" si="106"/>
        <v>#REF!</v>
      </c>
      <c r="B225" s="296" t="s">
        <v>0</v>
      </c>
      <c r="C225" s="742" t="s">
        <v>879</v>
      </c>
      <c r="D225" s="297" t="s">
        <v>0</v>
      </c>
      <c r="E225" s="833"/>
      <c r="F225" s="738"/>
      <c r="G225" s="738"/>
      <c r="H225" s="738"/>
      <c r="I225" s="739"/>
      <c r="J225" s="739"/>
      <c r="K225" s="740"/>
      <c r="L225" s="735">
        <f t="shared" si="110"/>
        <v>0</v>
      </c>
      <c r="N225" s="741">
        <f t="shared" si="92"/>
        <v>0</v>
      </c>
      <c r="O225" s="741">
        <f t="shared" si="93"/>
        <v>0</v>
      </c>
    </row>
    <row r="226" spans="1:15" s="298" customFormat="1" ht="17.100000000000001" hidden="1" customHeight="1">
      <c r="A226" s="736" t="e">
        <f t="shared" si="106"/>
        <v>#REF!</v>
      </c>
      <c r="B226" s="296" t="s">
        <v>880</v>
      </c>
      <c r="C226" s="296" t="s">
        <v>881</v>
      </c>
      <c r="D226" s="297" t="s">
        <v>7</v>
      </c>
      <c r="E226" s="833"/>
      <c r="F226" s="738" t="e">
        <f>#REF!</f>
        <v>#REF!</v>
      </c>
      <c r="G226" s="738" t="e">
        <f>#REF!</f>
        <v>#REF!</v>
      </c>
      <c r="H226" s="738" t="e">
        <f>#REF!</f>
        <v>#REF!</v>
      </c>
      <c r="I226" s="739" t="e">
        <f t="shared" ref="I226:I231" si="122">E226*F226</f>
        <v>#REF!</v>
      </c>
      <c r="J226" s="739" t="e">
        <f t="shared" ref="J226:J231" si="123">E226*G226</f>
        <v>#REF!</v>
      </c>
      <c r="K226" s="740" t="e">
        <f t="shared" ref="K226:K231" si="124">E226*H226</f>
        <v>#REF!</v>
      </c>
      <c r="L226" s="735" t="e">
        <f t="shared" si="110"/>
        <v>#REF!</v>
      </c>
      <c r="N226" s="741" t="e">
        <f t="shared" si="92"/>
        <v>#REF!</v>
      </c>
      <c r="O226" s="741" t="e">
        <f t="shared" si="93"/>
        <v>#REF!</v>
      </c>
    </row>
    <row r="227" spans="1:15" s="298" customFormat="1" ht="17.100000000000001" hidden="1" customHeight="1">
      <c r="A227" s="736" t="e">
        <f t="shared" si="106"/>
        <v>#REF!</v>
      </c>
      <c r="B227" s="296" t="s">
        <v>882</v>
      </c>
      <c r="C227" s="296" t="s">
        <v>883</v>
      </c>
      <c r="D227" s="297" t="s">
        <v>7</v>
      </c>
      <c r="E227" s="833"/>
      <c r="F227" s="738"/>
      <c r="G227" s="738" t="e">
        <f>#REF!</f>
        <v>#REF!</v>
      </c>
      <c r="H227" s="738" t="e">
        <f>#REF!</f>
        <v>#REF!</v>
      </c>
      <c r="I227" s="739">
        <f t="shared" si="122"/>
        <v>0</v>
      </c>
      <c r="J227" s="739" t="e">
        <f t="shared" si="123"/>
        <v>#REF!</v>
      </c>
      <c r="K227" s="740" t="e">
        <f t="shared" si="124"/>
        <v>#REF!</v>
      </c>
      <c r="L227" s="735" t="e">
        <f t="shared" si="110"/>
        <v>#REF!</v>
      </c>
      <c r="N227" s="741" t="e">
        <f t="shared" si="92"/>
        <v>#REF!</v>
      </c>
      <c r="O227" s="741" t="e">
        <f t="shared" si="93"/>
        <v>#REF!</v>
      </c>
    </row>
    <row r="228" spans="1:15" s="298" customFormat="1" ht="17.100000000000001" hidden="1" customHeight="1">
      <c r="A228" s="736" t="e">
        <f t="shared" si="106"/>
        <v>#REF!</v>
      </c>
      <c r="B228" s="296" t="s">
        <v>1492</v>
      </c>
      <c r="C228" s="296" t="s">
        <v>885</v>
      </c>
      <c r="D228" s="297" t="s">
        <v>2</v>
      </c>
      <c r="E228" s="833"/>
      <c r="F228" s="738"/>
      <c r="G228" s="738"/>
      <c r="H228" s="738" t="e">
        <f>#REF!</f>
        <v>#REF!</v>
      </c>
      <c r="I228" s="739">
        <f t="shared" si="122"/>
        <v>0</v>
      </c>
      <c r="J228" s="739">
        <f t="shared" si="123"/>
        <v>0</v>
      </c>
      <c r="K228" s="740" t="e">
        <f t="shared" si="124"/>
        <v>#REF!</v>
      </c>
      <c r="L228" s="735" t="e">
        <f t="shared" si="110"/>
        <v>#REF!</v>
      </c>
      <c r="N228" s="741" t="e">
        <f t="shared" si="92"/>
        <v>#REF!</v>
      </c>
      <c r="O228" s="741" t="e">
        <f t="shared" si="93"/>
        <v>#REF!</v>
      </c>
    </row>
    <row r="229" spans="1:15" s="298" customFormat="1" ht="17.100000000000001" hidden="1" customHeight="1">
      <c r="A229" s="736" t="e">
        <f t="shared" si="106"/>
        <v>#REF!</v>
      </c>
      <c r="B229" s="296" t="s">
        <v>872</v>
      </c>
      <c r="C229" s="296" t="s">
        <v>886</v>
      </c>
      <c r="D229" s="297" t="s">
        <v>874</v>
      </c>
      <c r="E229" s="833"/>
      <c r="F229" s="738"/>
      <c r="G229" s="738"/>
      <c r="H229" s="738" t="e">
        <f>#REF!</f>
        <v>#REF!</v>
      </c>
      <c r="I229" s="739">
        <f t="shared" si="122"/>
        <v>0</v>
      </c>
      <c r="J229" s="739">
        <f t="shared" si="123"/>
        <v>0</v>
      </c>
      <c r="K229" s="740" t="e">
        <f t="shared" si="124"/>
        <v>#REF!</v>
      </c>
      <c r="L229" s="735" t="e">
        <f t="shared" si="110"/>
        <v>#REF!</v>
      </c>
      <c r="N229" s="741" t="e">
        <f t="shared" si="92"/>
        <v>#REF!</v>
      </c>
      <c r="O229" s="741" t="e">
        <f t="shared" si="93"/>
        <v>#REF!</v>
      </c>
    </row>
    <row r="230" spans="1:15" s="298" customFormat="1" ht="17.100000000000001" hidden="1" customHeight="1">
      <c r="A230" s="736" t="e">
        <f t="shared" si="106"/>
        <v>#REF!</v>
      </c>
      <c r="B230" s="296"/>
      <c r="C230" s="841" t="s">
        <v>1731</v>
      </c>
      <c r="D230" s="297"/>
      <c r="E230" s="842"/>
      <c r="F230" s="738"/>
      <c r="G230" s="738"/>
      <c r="H230" s="738"/>
      <c r="I230" s="739">
        <f t="shared" si="122"/>
        <v>0</v>
      </c>
      <c r="J230" s="739">
        <f t="shared" si="123"/>
        <v>0</v>
      </c>
      <c r="K230" s="740">
        <f t="shared" si="124"/>
        <v>0</v>
      </c>
      <c r="L230" s="735">
        <f t="shared" si="110"/>
        <v>0</v>
      </c>
      <c r="N230" s="741">
        <f t="shared" ref="N230" si="125">SUM(F230:H230)*1.278</f>
        <v>0</v>
      </c>
      <c r="O230" s="741">
        <f t="shared" ref="O230" si="126">N230*E230</f>
        <v>0</v>
      </c>
    </row>
    <row r="231" spans="1:15" s="298" customFormat="1" ht="17.100000000000001" hidden="1" customHeight="1">
      <c r="A231" s="736" t="e">
        <f t="shared" si="106"/>
        <v>#REF!</v>
      </c>
      <c r="B231" s="296" t="s">
        <v>1458</v>
      </c>
      <c r="C231" s="296" t="s">
        <v>1675</v>
      </c>
      <c r="D231" s="297" t="s">
        <v>59</v>
      </c>
      <c r="E231" s="833"/>
      <c r="F231" s="738" t="e">
        <f>#REF!</f>
        <v>#REF!</v>
      </c>
      <c r="G231" s="738" t="e">
        <f>#REF!</f>
        <v>#REF!</v>
      </c>
      <c r="H231" s="738" t="e">
        <f>#REF!</f>
        <v>#REF!</v>
      </c>
      <c r="I231" s="739" t="e">
        <f t="shared" si="122"/>
        <v>#REF!</v>
      </c>
      <c r="J231" s="739" t="e">
        <f t="shared" si="123"/>
        <v>#REF!</v>
      </c>
      <c r="K231" s="740" t="e">
        <f t="shared" si="124"/>
        <v>#REF!</v>
      </c>
      <c r="L231" s="735" t="e">
        <f t="shared" si="110"/>
        <v>#REF!</v>
      </c>
      <c r="N231" s="741" t="e">
        <f>SUM(F231:H231)*1.278</f>
        <v>#REF!</v>
      </c>
      <c r="O231" s="741" t="e">
        <f>N231*E231</f>
        <v>#REF!</v>
      </c>
    </row>
    <row r="232" spans="1:15" s="298" customFormat="1" ht="17.100000000000001" hidden="1" customHeight="1">
      <c r="A232" s="736" t="e">
        <f t="shared" si="106"/>
        <v>#REF!</v>
      </c>
      <c r="B232" s="296" t="s">
        <v>1673</v>
      </c>
      <c r="C232" s="758" t="s">
        <v>1697</v>
      </c>
      <c r="D232" s="297" t="s">
        <v>59</v>
      </c>
      <c r="E232" s="842"/>
      <c r="F232" s="738" t="e">
        <f>#REF!</f>
        <v>#REF!</v>
      </c>
      <c r="G232" s="738" t="e">
        <f>#REF!</f>
        <v>#REF!</v>
      </c>
      <c r="H232" s="738" t="e">
        <f>#REF!</f>
        <v>#REF!</v>
      </c>
      <c r="I232" s="739" t="e">
        <f t="shared" ref="I232:I238" si="127">E232*F232</f>
        <v>#REF!</v>
      </c>
      <c r="J232" s="739" t="e">
        <f t="shared" ref="J232:J238" si="128">E232*G232</f>
        <v>#REF!</v>
      </c>
      <c r="K232" s="740" t="e">
        <f t="shared" ref="K232:K238" si="129">E232*H232</f>
        <v>#REF!</v>
      </c>
      <c r="L232" s="735" t="e">
        <f t="shared" si="110"/>
        <v>#REF!</v>
      </c>
      <c r="N232" s="741" t="e">
        <f t="shared" ref="N232:N238" si="130">SUM(F232:H232)*1.278</f>
        <v>#REF!</v>
      </c>
      <c r="O232" s="741" t="e">
        <f t="shared" ref="O232:O238" si="131">N232*E232</f>
        <v>#REF!</v>
      </c>
    </row>
    <row r="233" spans="1:15" s="298" customFormat="1" ht="28.5" hidden="1">
      <c r="A233" s="736" t="e">
        <f t="shared" si="106"/>
        <v>#REF!</v>
      </c>
      <c r="B233" s="296" t="s">
        <v>1748</v>
      </c>
      <c r="C233" s="743" t="s">
        <v>1676</v>
      </c>
      <c r="D233" s="297" t="s">
        <v>59</v>
      </c>
      <c r="E233" s="842"/>
      <c r="F233" s="738" t="e">
        <f>#REF!</f>
        <v>#REF!</v>
      </c>
      <c r="G233" s="738" t="e">
        <f>#REF!</f>
        <v>#REF!</v>
      </c>
      <c r="H233" s="738" t="e">
        <f>#REF!</f>
        <v>#REF!</v>
      </c>
      <c r="I233" s="739" t="e">
        <f t="shared" si="127"/>
        <v>#REF!</v>
      </c>
      <c r="J233" s="739" t="e">
        <f t="shared" si="128"/>
        <v>#REF!</v>
      </c>
      <c r="K233" s="740" t="e">
        <f t="shared" si="129"/>
        <v>#REF!</v>
      </c>
      <c r="L233" s="735" t="e">
        <f t="shared" si="110"/>
        <v>#REF!</v>
      </c>
      <c r="N233" s="741" t="e">
        <f t="shared" si="130"/>
        <v>#REF!</v>
      </c>
      <c r="O233" s="741" t="e">
        <f t="shared" si="131"/>
        <v>#REF!</v>
      </c>
    </row>
    <row r="234" spans="1:15" s="298" customFormat="1" ht="17.100000000000001" hidden="1" customHeight="1">
      <c r="A234" s="736" t="e">
        <f t="shared" si="106"/>
        <v>#REF!</v>
      </c>
      <c r="B234" s="296" t="s">
        <v>1436</v>
      </c>
      <c r="C234" s="296" t="s">
        <v>1460</v>
      </c>
      <c r="D234" s="297" t="s">
        <v>59</v>
      </c>
      <c r="E234" s="842"/>
      <c r="F234" s="738" t="e">
        <f>#REF!</f>
        <v>#REF!</v>
      </c>
      <c r="G234" s="738" t="e">
        <f>#REF!</f>
        <v>#REF!</v>
      </c>
      <c r="H234" s="738" t="e">
        <f>#REF!</f>
        <v>#REF!</v>
      </c>
      <c r="I234" s="739" t="e">
        <f t="shared" si="127"/>
        <v>#REF!</v>
      </c>
      <c r="J234" s="739" t="e">
        <f t="shared" si="128"/>
        <v>#REF!</v>
      </c>
      <c r="K234" s="740" t="e">
        <f t="shared" si="129"/>
        <v>#REF!</v>
      </c>
      <c r="L234" s="735" t="e">
        <f t="shared" si="110"/>
        <v>#REF!</v>
      </c>
      <c r="N234" s="741" t="e">
        <f t="shared" si="130"/>
        <v>#REF!</v>
      </c>
      <c r="O234" s="741" t="e">
        <f t="shared" si="131"/>
        <v>#REF!</v>
      </c>
    </row>
    <row r="235" spans="1:15" s="298" customFormat="1" ht="17.100000000000001" hidden="1" customHeight="1">
      <c r="A235" s="736" t="e">
        <f t="shared" si="106"/>
        <v>#REF!</v>
      </c>
      <c r="B235" s="296" t="s">
        <v>809</v>
      </c>
      <c r="C235" s="296" t="s">
        <v>853</v>
      </c>
      <c r="D235" s="297" t="s">
        <v>551</v>
      </c>
      <c r="E235" s="842"/>
      <c r="F235" s="738" t="e">
        <f>#REF!</f>
        <v>#REF!</v>
      </c>
      <c r="G235" s="738" t="e">
        <f>#REF!</f>
        <v>#REF!</v>
      </c>
      <c r="H235" s="738"/>
      <c r="I235" s="739" t="e">
        <f t="shared" si="127"/>
        <v>#REF!</v>
      </c>
      <c r="J235" s="739" t="e">
        <f t="shared" si="128"/>
        <v>#REF!</v>
      </c>
      <c r="K235" s="740">
        <f t="shared" si="129"/>
        <v>0</v>
      </c>
      <c r="L235" s="735" t="e">
        <f t="shared" si="110"/>
        <v>#REF!</v>
      </c>
      <c r="N235" s="741" t="e">
        <f t="shared" si="130"/>
        <v>#REF!</v>
      </c>
      <c r="O235" s="741" t="e">
        <f t="shared" si="131"/>
        <v>#REF!</v>
      </c>
    </row>
    <row r="236" spans="1:15" s="298" customFormat="1" ht="17.100000000000001" hidden="1" customHeight="1">
      <c r="A236" s="736" t="e">
        <f t="shared" si="106"/>
        <v>#REF!</v>
      </c>
      <c r="B236" s="296" t="s">
        <v>1690</v>
      </c>
      <c r="C236" s="296" t="s">
        <v>1489</v>
      </c>
      <c r="D236" s="297" t="s">
        <v>2</v>
      </c>
      <c r="E236" s="842"/>
      <c r="F236" s="738" t="e">
        <f>#REF!</f>
        <v>#REF!</v>
      </c>
      <c r="G236" s="738" t="e">
        <f>#REF!</f>
        <v>#REF!</v>
      </c>
      <c r="H236" s="738"/>
      <c r="I236" s="739" t="e">
        <f t="shared" si="127"/>
        <v>#REF!</v>
      </c>
      <c r="J236" s="739" t="e">
        <f t="shared" si="128"/>
        <v>#REF!</v>
      </c>
      <c r="K236" s="740">
        <f t="shared" si="129"/>
        <v>0</v>
      </c>
      <c r="L236" s="735" t="e">
        <f t="shared" si="110"/>
        <v>#REF!</v>
      </c>
      <c r="N236" s="741" t="e">
        <f t="shared" si="130"/>
        <v>#REF!</v>
      </c>
      <c r="O236" s="741" t="e">
        <f t="shared" si="131"/>
        <v>#REF!</v>
      </c>
    </row>
    <row r="237" spans="1:15" s="298" customFormat="1" ht="17.100000000000001" hidden="1" customHeight="1">
      <c r="A237" s="736" t="e">
        <f t="shared" si="106"/>
        <v>#REF!</v>
      </c>
      <c r="B237" s="824" t="s">
        <v>1688</v>
      </c>
      <c r="C237" s="296" t="s">
        <v>1689</v>
      </c>
      <c r="D237" s="297" t="s">
        <v>2</v>
      </c>
      <c r="E237" s="842"/>
      <c r="F237" s="738"/>
      <c r="G237" s="738" t="e">
        <f>#REF!</f>
        <v>#REF!</v>
      </c>
      <c r="H237" s="738"/>
      <c r="I237" s="739">
        <f t="shared" si="127"/>
        <v>0</v>
      </c>
      <c r="J237" s="739" t="e">
        <f t="shared" si="128"/>
        <v>#REF!</v>
      </c>
      <c r="K237" s="740">
        <f t="shared" si="129"/>
        <v>0</v>
      </c>
      <c r="L237" s="735" t="e">
        <f t="shared" si="110"/>
        <v>#REF!</v>
      </c>
      <c r="N237" s="741" t="e">
        <f t="shared" si="130"/>
        <v>#REF!</v>
      </c>
      <c r="O237" s="741" t="e">
        <f t="shared" si="131"/>
        <v>#REF!</v>
      </c>
    </row>
    <row r="238" spans="1:15" s="298" customFormat="1" ht="17.100000000000001" hidden="1" customHeight="1">
      <c r="A238" s="736" t="e">
        <f t="shared" si="106"/>
        <v>#REF!</v>
      </c>
      <c r="B238" s="296"/>
      <c r="C238" s="841" t="s">
        <v>1732</v>
      </c>
      <c r="D238" s="297"/>
      <c r="E238" s="842"/>
      <c r="F238" s="738"/>
      <c r="G238" s="738"/>
      <c r="H238" s="738"/>
      <c r="I238" s="739">
        <f t="shared" si="127"/>
        <v>0</v>
      </c>
      <c r="J238" s="739">
        <f t="shared" si="128"/>
        <v>0</v>
      </c>
      <c r="K238" s="740">
        <f t="shared" si="129"/>
        <v>0</v>
      </c>
      <c r="L238" s="735">
        <f t="shared" si="110"/>
        <v>0</v>
      </c>
      <c r="N238" s="741">
        <f t="shared" si="130"/>
        <v>0</v>
      </c>
      <c r="O238" s="741">
        <f t="shared" si="131"/>
        <v>0</v>
      </c>
    </row>
    <row r="239" spans="1:15" s="298" customFormat="1" ht="17.100000000000001" hidden="1" customHeight="1">
      <c r="A239" s="736" t="e">
        <f t="shared" si="106"/>
        <v>#REF!</v>
      </c>
      <c r="B239" s="296"/>
      <c r="C239" s="742" t="s">
        <v>1733</v>
      </c>
      <c r="D239" s="297" t="s">
        <v>0</v>
      </c>
      <c r="E239" s="833"/>
      <c r="F239" s="738"/>
      <c r="G239" s="738"/>
      <c r="H239" s="738"/>
      <c r="I239" s="739"/>
      <c r="J239" s="739"/>
      <c r="K239" s="740"/>
      <c r="L239" s="735">
        <f t="shared" si="110"/>
        <v>0</v>
      </c>
      <c r="N239" s="741">
        <f t="shared" ref="N239:N245" si="132">SUM(F239:H239)*1.278</f>
        <v>0</v>
      </c>
      <c r="O239" s="741">
        <f t="shared" si="93"/>
        <v>0</v>
      </c>
    </row>
    <row r="240" spans="1:15" s="298" customFormat="1" ht="17.100000000000001" hidden="1" customHeight="1">
      <c r="A240" s="736" t="e">
        <f t="shared" si="106"/>
        <v>#REF!</v>
      </c>
      <c r="B240" s="296" t="s">
        <v>119</v>
      </c>
      <c r="C240" s="296" t="s">
        <v>631</v>
      </c>
      <c r="D240" s="297" t="s">
        <v>2</v>
      </c>
      <c r="E240" s="842"/>
      <c r="F240" s="738"/>
      <c r="G240" s="738" t="e">
        <f>#REF!</f>
        <v>#REF!</v>
      </c>
      <c r="H240" s="738"/>
      <c r="I240" s="739">
        <f t="shared" ref="I240:I241" si="133">E240*F240</f>
        <v>0</v>
      </c>
      <c r="J240" s="739" t="e">
        <f t="shared" ref="J240:J241" si="134">E240*G240</f>
        <v>#REF!</v>
      </c>
      <c r="K240" s="740">
        <f t="shared" ref="K240:K241" si="135">E240*H240</f>
        <v>0</v>
      </c>
      <c r="L240" s="735" t="e">
        <f t="shared" si="110"/>
        <v>#REF!</v>
      </c>
      <c r="N240" s="741" t="e">
        <f t="shared" ref="N240:N241" si="136">SUM(F240:H240)*1.278</f>
        <v>#REF!</v>
      </c>
      <c r="O240" s="741" t="e">
        <f t="shared" ref="O240:O241" si="137">N240*E240</f>
        <v>#REF!</v>
      </c>
    </row>
    <row r="241" spans="1:15" s="298" customFormat="1" ht="17.100000000000001" hidden="1" customHeight="1">
      <c r="A241" s="736" t="e">
        <f t="shared" si="106"/>
        <v>#REF!</v>
      </c>
      <c r="B241" s="296" t="s">
        <v>1395</v>
      </c>
      <c r="C241" s="296" t="s">
        <v>634</v>
      </c>
      <c r="D241" s="297" t="s">
        <v>2</v>
      </c>
      <c r="E241" s="842"/>
      <c r="F241" s="738" t="e">
        <f>#REF!</f>
        <v>#REF!</v>
      </c>
      <c r="G241" s="738" t="e">
        <f>#REF!</f>
        <v>#REF!</v>
      </c>
      <c r="H241" s="738" t="e">
        <f>#REF!</f>
        <v>#REF!</v>
      </c>
      <c r="I241" s="739" t="e">
        <f t="shared" si="133"/>
        <v>#REF!</v>
      </c>
      <c r="J241" s="739" t="e">
        <f t="shared" si="134"/>
        <v>#REF!</v>
      </c>
      <c r="K241" s="740" t="e">
        <f t="shared" si="135"/>
        <v>#REF!</v>
      </c>
      <c r="L241" s="735" t="e">
        <f t="shared" si="110"/>
        <v>#REF!</v>
      </c>
      <c r="N241" s="741" t="e">
        <f t="shared" si="136"/>
        <v>#REF!</v>
      </c>
      <c r="O241" s="741" t="e">
        <f t="shared" si="137"/>
        <v>#REF!</v>
      </c>
    </row>
    <row r="242" spans="1:15" s="298" customFormat="1" ht="17.100000000000001" hidden="1" customHeight="1">
      <c r="A242" s="736" t="e">
        <f t="shared" si="106"/>
        <v>#REF!</v>
      </c>
      <c r="B242" s="296" t="s">
        <v>635</v>
      </c>
      <c r="C242" s="296" t="s">
        <v>636</v>
      </c>
      <c r="D242" s="297" t="s">
        <v>637</v>
      </c>
      <c r="E242" s="833"/>
      <c r="F242" s="738" t="e">
        <f>#REF!</f>
        <v>#REF!</v>
      </c>
      <c r="G242" s="738" t="e">
        <f>#REF!</f>
        <v>#REF!</v>
      </c>
      <c r="H242" s="738" t="e">
        <f>#REF!</f>
        <v>#REF!</v>
      </c>
      <c r="I242" s="739" t="e">
        <f>E242*F242</f>
        <v>#REF!</v>
      </c>
      <c r="J242" s="739" t="e">
        <f>E242*G242</f>
        <v>#REF!</v>
      </c>
      <c r="K242" s="740" t="e">
        <f>E242*H242</f>
        <v>#REF!</v>
      </c>
      <c r="L242" s="735" t="e">
        <f t="shared" si="110"/>
        <v>#REF!</v>
      </c>
      <c r="N242" s="741" t="e">
        <f t="shared" si="132"/>
        <v>#REF!</v>
      </c>
      <c r="O242" s="741" t="e">
        <f t="shared" si="93"/>
        <v>#REF!</v>
      </c>
    </row>
    <row r="243" spans="1:15" s="298" customFormat="1" ht="17.100000000000001" hidden="1" customHeight="1">
      <c r="A243" s="736" t="e">
        <f t="shared" si="106"/>
        <v>#REF!</v>
      </c>
      <c r="B243" s="296" t="s">
        <v>115</v>
      </c>
      <c r="C243" s="296" t="s">
        <v>638</v>
      </c>
      <c r="D243" s="297" t="s">
        <v>637</v>
      </c>
      <c r="E243" s="842"/>
      <c r="F243" s="738" t="e">
        <f>#REF!</f>
        <v>#REF!</v>
      </c>
      <c r="G243" s="738" t="e">
        <f>#REF!</f>
        <v>#REF!</v>
      </c>
      <c r="H243" s="738" t="e">
        <f>#REF!</f>
        <v>#REF!</v>
      </c>
      <c r="I243" s="739" t="e">
        <f t="shared" ref="I243:I244" si="138">E243*F243</f>
        <v>#REF!</v>
      </c>
      <c r="J243" s="739" t="e">
        <f t="shared" ref="J243:J244" si="139">E243*G243</f>
        <v>#REF!</v>
      </c>
      <c r="K243" s="740" t="e">
        <f t="shared" ref="K243:K244" si="140">E243*H243</f>
        <v>#REF!</v>
      </c>
      <c r="L243" s="735" t="e">
        <f t="shared" si="110"/>
        <v>#REF!</v>
      </c>
      <c r="N243" s="741" t="e">
        <f t="shared" ref="N243:N244" si="141">SUM(F243:H243)*1.278</f>
        <v>#REF!</v>
      </c>
      <c r="O243" s="741" t="e">
        <f t="shared" ref="O243:O244" si="142">N243*E243</f>
        <v>#REF!</v>
      </c>
    </row>
    <row r="244" spans="1:15" s="298" customFormat="1" ht="17.100000000000001" hidden="1" customHeight="1">
      <c r="A244" s="736" t="e">
        <f t="shared" si="106"/>
        <v>#REF!</v>
      </c>
      <c r="B244" s="296" t="s">
        <v>1557</v>
      </c>
      <c r="C244" s="296" t="s">
        <v>1558</v>
      </c>
      <c r="D244" s="297" t="s">
        <v>111</v>
      </c>
      <c r="E244" s="842"/>
      <c r="F244" s="738" t="e">
        <f>#REF!</f>
        <v>#REF!</v>
      </c>
      <c r="G244" s="738" t="e">
        <f>#REF!</f>
        <v>#REF!</v>
      </c>
      <c r="H244" s="738" t="e">
        <f>#REF!</f>
        <v>#REF!</v>
      </c>
      <c r="I244" s="739" t="e">
        <f t="shared" si="138"/>
        <v>#REF!</v>
      </c>
      <c r="J244" s="739" t="e">
        <f t="shared" si="139"/>
        <v>#REF!</v>
      </c>
      <c r="K244" s="740" t="e">
        <f t="shared" si="140"/>
        <v>#REF!</v>
      </c>
      <c r="L244" s="735" t="e">
        <f t="shared" si="110"/>
        <v>#REF!</v>
      </c>
      <c r="N244" s="741" t="e">
        <f t="shared" si="141"/>
        <v>#REF!</v>
      </c>
      <c r="O244" s="741" t="e">
        <f t="shared" si="142"/>
        <v>#REF!</v>
      </c>
    </row>
    <row r="245" spans="1:15" s="298" customFormat="1" ht="17.100000000000001" hidden="1" customHeight="1">
      <c r="A245" s="736" t="e">
        <f t="shared" si="106"/>
        <v>#REF!</v>
      </c>
      <c r="B245" s="296"/>
      <c r="C245" s="742" t="s">
        <v>1659</v>
      </c>
      <c r="D245" s="297" t="s">
        <v>0</v>
      </c>
      <c r="E245" s="833"/>
      <c r="F245" s="738"/>
      <c r="G245" s="738"/>
      <c r="H245" s="738"/>
      <c r="I245" s="739"/>
      <c r="J245" s="739"/>
      <c r="K245" s="740"/>
      <c r="L245" s="735">
        <f t="shared" si="110"/>
        <v>0</v>
      </c>
      <c r="N245" s="741">
        <f t="shared" si="132"/>
        <v>0</v>
      </c>
      <c r="O245" s="741">
        <f t="shared" si="93"/>
        <v>0</v>
      </c>
    </row>
    <row r="246" spans="1:15" s="298" customFormat="1" ht="17.100000000000001" hidden="1" customHeight="1">
      <c r="A246" s="1084" t="e">
        <f t="shared" si="106"/>
        <v>#REF!</v>
      </c>
      <c r="B246" s="744" t="s">
        <v>632</v>
      </c>
      <c r="C246" s="744" t="s">
        <v>633</v>
      </c>
      <c r="D246" s="745" t="s">
        <v>111</v>
      </c>
      <c r="E246" s="843"/>
      <c r="F246" s="746" t="e">
        <f>#REF!</f>
        <v>#REF!</v>
      </c>
      <c r="G246" s="746" t="e">
        <f>#REF!</f>
        <v>#REF!</v>
      </c>
      <c r="H246" s="746"/>
      <c r="I246" s="747" t="e">
        <f>E246*F246</f>
        <v>#REF!</v>
      </c>
      <c r="J246" s="747" t="e">
        <f>E246*G246</f>
        <v>#REF!</v>
      </c>
      <c r="K246" s="748">
        <f>E246*H246</f>
        <v>0</v>
      </c>
      <c r="L246" s="735" t="e">
        <f t="shared" si="110"/>
        <v>#REF!</v>
      </c>
      <c r="N246" s="741" t="e">
        <f t="shared" ref="N246" si="143">SUM(F246:H246)*1.278</f>
        <v>#REF!</v>
      </c>
      <c r="O246" s="741" t="e">
        <f t="shared" ref="O246" si="144">N246*E246</f>
        <v>#REF!</v>
      </c>
    </row>
    <row r="247" spans="1:15" s="298" customFormat="1" ht="17.100000000000001" customHeight="1">
      <c r="A247" s="749" t="e">
        <f t="shared" si="106"/>
        <v>#REF!</v>
      </c>
      <c r="B247" s="730" t="s">
        <v>0</v>
      </c>
      <c r="C247" s="730" t="s">
        <v>1819</v>
      </c>
      <c r="D247" s="731" t="s">
        <v>0</v>
      </c>
      <c r="E247" s="819"/>
      <c r="F247" s="732"/>
      <c r="G247" s="732"/>
      <c r="H247" s="732"/>
      <c r="I247" s="733" t="e">
        <f>SUM(I248:I386)</f>
        <v>#REF!</v>
      </c>
      <c r="J247" s="733" t="e">
        <f>SUM(J248:J386)</f>
        <v>#REF!</v>
      </c>
      <c r="K247" s="734" t="e">
        <f>SUM(K248:K386)</f>
        <v>#REF!</v>
      </c>
      <c r="L247" s="735" t="e">
        <f t="shared" si="110"/>
        <v>#REF!</v>
      </c>
      <c r="N247" s="741">
        <f t="shared" si="92"/>
        <v>0</v>
      </c>
      <c r="O247" s="734" t="e">
        <f>SUM(O249:O514)</f>
        <v>#REF!</v>
      </c>
    </row>
    <row r="248" spans="1:15" s="298" customFormat="1" ht="17.100000000000001" customHeight="1">
      <c r="A248" s="736" t="e">
        <f t="shared" si="106"/>
        <v>#REF!</v>
      </c>
      <c r="B248" s="730" t="s">
        <v>1746</v>
      </c>
      <c r="C248" s="737" t="s">
        <v>1820</v>
      </c>
      <c r="D248" s="731"/>
      <c r="E248" s="819"/>
      <c r="F248" s="732"/>
      <c r="G248" s="732"/>
      <c r="H248" s="732"/>
      <c r="I248" s="733"/>
      <c r="J248" s="733"/>
      <c r="K248" s="734"/>
      <c r="L248" s="735">
        <f t="shared" si="110"/>
        <v>1</v>
      </c>
      <c r="N248" s="741">
        <f t="shared" si="92"/>
        <v>0</v>
      </c>
      <c r="O248" s="741">
        <f t="shared" si="93"/>
        <v>0</v>
      </c>
    </row>
    <row r="249" spans="1:15" s="298" customFormat="1" ht="17.100000000000001" customHeight="1">
      <c r="A249" s="736" t="e">
        <f t="shared" si="106"/>
        <v>#REF!</v>
      </c>
      <c r="B249" s="296" t="s">
        <v>611</v>
      </c>
      <c r="C249" s="296" t="s">
        <v>1797</v>
      </c>
      <c r="D249" s="297" t="s">
        <v>2</v>
      </c>
      <c r="E249" s="788"/>
      <c r="F249" s="738"/>
      <c r="G249" s="738" t="e">
        <f>#REF!</f>
        <v>#REF!</v>
      </c>
      <c r="H249" s="738" t="e">
        <f>#REF!</f>
        <v>#REF!</v>
      </c>
      <c r="I249" s="739">
        <f t="shared" ref="I249:I293" si="145">E249*F249</f>
        <v>0</v>
      </c>
      <c r="J249" s="739" t="e">
        <f t="shared" ref="J249:J293" si="146">E249*G249</f>
        <v>#REF!</v>
      </c>
      <c r="K249" s="740" t="e">
        <f t="shared" ref="K249:K293" si="147">E249*H249</f>
        <v>#REF!</v>
      </c>
      <c r="L249" s="735" t="e">
        <f t="shared" si="110"/>
        <v>#REF!</v>
      </c>
      <c r="N249" s="741" t="e">
        <f t="shared" si="92"/>
        <v>#REF!</v>
      </c>
      <c r="O249" s="741" t="e">
        <f>N249*E249</f>
        <v>#REF!</v>
      </c>
    </row>
    <row r="250" spans="1:15" s="298" customFormat="1" ht="17.100000000000001" hidden="1" customHeight="1">
      <c r="A250" s="736" t="e">
        <f t="shared" si="106"/>
        <v>#REF!</v>
      </c>
      <c r="B250" s="296" t="s">
        <v>550</v>
      </c>
      <c r="C250" s="296" t="s">
        <v>1857</v>
      </c>
      <c r="D250" s="297" t="s">
        <v>2</v>
      </c>
      <c r="E250" s="788"/>
      <c r="F250" s="738"/>
      <c r="G250" s="738" t="e">
        <f>#REF!</f>
        <v>#REF!</v>
      </c>
      <c r="H250" s="738" t="e">
        <f>#REF!</f>
        <v>#REF!</v>
      </c>
      <c r="I250" s="739">
        <f t="shared" ref="I250" si="148">E250*F250</f>
        <v>0</v>
      </c>
      <c r="J250" s="739" t="e">
        <f t="shared" ref="J250" si="149">E250*G250</f>
        <v>#REF!</v>
      </c>
      <c r="K250" s="740" t="e">
        <f t="shared" ref="K250" si="150">E250*H250</f>
        <v>#REF!</v>
      </c>
      <c r="L250" s="735" t="e">
        <f t="shared" ref="L250" si="151">IF(OR(SUM(I250:K250)&lt;&gt;0,B250="*"),$L$5,0)</f>
        <v>#REF!</v>
      </c>
      <c r="N250" s="741" t="e">
        <f t="shared" ref="N250" si="152">SUM(F250:H250)*1.278</f>
        <v>#REF!</v>
      </c>
      <c r="O250" s="741" t="e">
        <f t="shared" ref="O250" si="153">N250*E250</f>
        <v>#REF!</v>
      </c>
    </row>
    <row r="251" spans="1:15" s="298" customFormat="1" ht="17.100000000000001" hidden="1" customHeight="1">
      <c r="A251" s="736" t="e">
        <f t="shared" si="106"/>
        <v>#REF!</v>
      </c>
      <c r="B251" s="296" t="s">
        <v>1030</v>
      </c>
      <c r="C251" s="296" t="s">
        <v>1507</v>
      </c>
      <c r="D251" s="297" t="s">
        <v>310</v>
      </c>
      <c r="E251" s="788"/>
      <c r="F251" s="738" t="e">
        <f>#REF!</f>
        <v>#REF!</v>
      </c>
      <c r="G251" s="738" t="e">
        <f>#REF!</f>
        <v>#REF!</v>
      </c>
      <c r="H251" s="738" t="e">
        <f>#REF!</f>
        <v>#REF!</v>
      </c>
      <c r="I251" s="739" t="e">
        <f>E251*F251</f>
        <v>#REF!</v>
      </c>
      <c r="J251" s="739" t="e">
        <f>E251*G251</f>
        <v>#REF!</v>
      </c>
      <c r="K251" s="740" t="e">
        <f>E251*H251</f>
        <v>#REF!</v>
      </c>
      <c r="L251" s="735" t="e">
        <f>IF(OR(SUM(I251:K251)&lt;&gt;0,B251="*"),$L$5,0)</f>
        <v>#REF!</v>
      </c>
      <c r="N251" s="741" t="e">
        <f>SUM(F251:H251)*1.278</f>
        <v>#REF!</v>
      </c>
      <c r="O251" s="741" t="e">
        <f>N251*E251</f>
        <v>#REF!</v>
      </c>
    </row>
    <row r="252" spans="1:15" s="298" customFormat="1" ht="17.100000000000001" hidden="1" customHeight="1">
      <c r="A252" s="736" t="e">
        <f t="shared" si="106"/>
        <v>#REF!</v>
      </c>
      <c r="B252" s="296" t="s">
        <v>618</v>
      </c>
      <c r="C252" s="296" t="s">
        <v>1918</v>
      </c>
      <c r="D252" s="297" t="s">
        <v>2</v>
      </c>
      <c r="E252" s="788"/>
      <c r="F252" s="738"/>
      <c r="G252" s="738" t="e">
        <f>#REF!</f>
        <v>#REF!</v>
      </c>
      <c r="H252" s="738" t="e">
        <f>#REF!</f>
        <v>#REF!</v>
      </c>
      <c r="I252" s="739">
        <f t="shared" si="145"/>
        <v>0</v>
      </c>
      <c r="J252" s="739" t="e">
        <f t="shared" si="146"/>
        <v>#REF!</v>
      </c>
      <c r="K252" s="740" t="e">
        <f t="shared" si="147"/>
        <v>#REF!</v>
      </c>
      <c r="L252" s="735" t="e">
        <f t="shared" si="110"/>
        <v>#REF!</v>
      </c>
      <c r="N252" s="741" t="e">
        <f t="shared" si="92"/>
        <v>#REF!</v>
      </c>
      <c r="O252" s="741" t="e">
        <f t="shared" si="93"/>
        <v>#REF!</v>
      </c>
    </row>
    <row r="253" spans="1:15" s="298" customFormat="1" ht="17.100000000000001" hidden="1" customHeight="1">
      <c r="A253" s="736" t="e">
        <f t="shared" si="106"/>
        <v>#REF!</v>
      </c>
      <c r="B253" s="296" t="s">
        <v>1766</v>
      </c>
      <c r="C253" s="296" t="s">
        <v>1765</v>
      </c>
      <c r="D253" s="297" t="s">
        <v>2</v>
      </c>
      <c r="E253" s="788"/>
      <c r="F253" s="738"/>
      <c r="G253" s="738"/>
      <c r="H253" s="738" t="e">
        <f>#REF!</f>
        <v>#REF!</v>
      </c>
      <c r="I253" s="739">
        <f t="shared" si="145"/>
        <v>0</v>
      </c>
      <c r="J253" s="739">
        <f t="shared" si="146"/>
        <v>0</v>
      </c>
      <c r="K253" s="740" t="e">
        <f>E253*H253</f>
        <v>#REF!</v>
      </c>
      <c r="L253" s="735" t="e">
        <f t="shared" ref="L253" si="154">IF(OR(SUM(I253:K253)&lt;&gt;0,B253="*"),$L$5,0)</f>
        <v>#REF!</v>
      </c>
      <c r="N253" s="741" t="e">
        <f>SUM(F253:H253)*1.278</f>
        <v>#REF!</v>
      </c>
      <c r="O253" s="741" t="e">
        <f t="shared" si="93"/>
        <v>#REF!</v>
      </c>
    </row>
    <row r="254" spans="1:15" s="298" customFormat="1" ht="17.100000000000001" hidden="1" customHeight="1">
      <c r="A254" s="736" t="e">
        <f t="shared" si="106"/>
        <v>#REF!</v>
      </c>
      <c r="B254" s="296" t="s">
        <v>610</v>
      </c>
      <c r="C254" s="296" t="s">
        <v>613</v>
      </c>
      <c r="D254" s="297" t="s">
        <v>2</v>
      </c>
      <c r="E254" s="788"/>
      <c r="F254" s="738"/>
      <c r="G254" s="738" t="e">
        <f>#REF!</f>
        <v>#REF!</v>
      </c>
      <c r="H254" s="738" t="e">
        <f>#REF!</f>
        <v>#REF!</v>
      </c>
      <c r="I254" s="739">
        <f t="shared" si="145"/>
        <v>0</v>
      </c>
      <c r="J254" s="739" t="e">
        <f t="shared" si="146"/>
        <v>#REF!</v>
      </c>
      <c r="K254" s="740" t="e">
        <f t="shared" si="147"/>
        <v>#REF!</v>
      </c>
      <c r="L254" s="735" t="e">
        <f t="shared" si="110"/>
        <v>#REF!</v>
      </c>
      <c r="N254" s="741" t="e">
        <f t="shared" si="92"/>
        <v>#REF!</v>
      </c>
      <c r="O254" s="741" t="e">
        <f t="shared" si="93"/>
        <v>#REF!</v>
      </c>
    </row>
    <row r="255" spans="1:15" s="298" customFormat="1" ht="17.100000000000001" hidden="1" customHeight="1">
      <c r="A255" s="736" t="e">
        <f t="shared" si="106"/>
        <v>#REF!</v>
      </c>
      <c r="B255" s="296" t="s">
        <v>614</v>
      </c>
      <c r="C255" s="296" t="s">
        <v>615</v>
      </c>
      <c r="D255" s="297" t="s">
        <v>2</v>
      </c>
      <c r="E255" s="788"/>
      <c r="F255" s="738"/>
      <c r="G255" s="738" t="e">
        <f>#REF!</f>
        <v>#REF!</v>
      </c>
      <c r="H255" s="738"/>
      <c r="I255" s="739">
        <f t="shared" ref="I255:I256" si="155">E255*F255</f>
        <v>0</v>
      </c>
      <c r="J255" s="739" t="e">
        <f t="shared" ref="J255:J256" si="156">E255*G255</f>
        <v>#REF!</v>
      </c>
      <c r="K255" s="740">
        <f t="shared" ref="K255:K256" si="157">E255*H255</f>
        <v>0</v>
      </c>
      <c r="L255" s="735" t="e">
        <f t="shared" si="110"/>
        <v>#REF!</v>
      </c>
      <c r="N255" s="741" t="e">
        <f t="shared" si="92"/>
        <v>#REF!</v>
      </c>
      <c r="O255" s="741" t="e">
        <f t="shared" si="93"/>
        <v>#REF!</v>
      </c>
    </row>
    <row r="256" spans="1:15" s="298" customFormat="1" ht="17.100000000000001" hidden="1" customHeight="1">
      <c r="A256" s="736" t="e">
        <f t="shared" si="106"/>
        <v>#REF!</v>
      </c>
      <c r="B256" s="296" t="s">
        <v>1493</v>
      </c>
      <c r="C256" s="296" t="s">
        <v>1494</v>
      </c>
      <c r="D256" s="297" t="s">
        <v>2</v>
      </c>
      <c r="E256" s="788"/>
      <c r="F256" s="738"/>
      <c r="G256" s="738" t="e">
        <f>#REF!</f>
        <v>#REF!</v>
      </c>
      <c r="H256" s="738" t="e">
        <f>#REF!</f>
        <v>#REF!</v>
      </c>
      <c r="I256" s="739">
        <f t="shared" si="155"/>
        <v>0</v>
      </c>
      <c r="J256" s="739" t="e">
        <f t="shared" si="156"/>
        <v>#REF!</v>
      </c>
      <c r="K256" s="740" t="e">
        <f t="shared" si="157"/>
        <v>#REF!</v>
      </c>
      <c r="L256" s="735" t="e">
        <f t="shared" si="110"/>
        <v>#REF!</v>
      </c>
      <c r="N256" s="741" t="e">
        <f t="shared" si="92"/>
        <v>#REF!</v>
      </c>
      <c r="O256" s="741" t="e">
        <f t="shared" si="93"/>
        <v>#REF!</v>
      </c>
    </row>
    <row r="257" spans="1:15" s="298" customFormat="1" ht="17.100000000000001" hidden="1" customHeight="1">
      <c r="A257" s="736" t="e">
        <f t="shared" si="106"/>
        <v>#REF!</v>
      </c>
      <c r="B257" s="296" t="s">
        <v>1495</v>
      </c>
      <c r="C257" s="296" t="s">
        <v>1496</v>
      </c>
      <c r="D257" s="297" t="s">
        <v>2</v>
      </c>
      <c r="E257" s="788"/>
      <c r="F257" s="738"/>
      <c r="G257" s="738" t="e">
        <f>#REF!</f>
        <v>#REF!</v>
      </c>
      <c r="H257" s="738" t="e">
        <f>#REF!</f>
        <v>#REF!</v>
      </c>
      <c r="I257" s="739">
        <f t="shared" si="145"/>
        <v>0</v>
      </c>
      <c r="J257" s="739" t="e">
        <f t="shared" si="146"/>
        <v>#REF!</v>
      </c>
      <c r="K257" s="740" t="e">
        <f t="shared" si="147"/>
        <v>#REF!</v>
      </c>
      <c r="L257" s="735" t="e">
        <f t="shared" si="110"/>
        <v>#REF!</v>
      </c>
      <c r="N257" s="741" t="e">
        <f t="shared" si="92"/>
        <v>#REF!</v>
      </c>
      <c r="O257" s="741" t="e">
        <f t="shared" si="93"/>
        <v>#REF!</v>
      </c>
    </row>
    <row r="258" spans="1:15" s="298" customFormat="1" ht="17.100000000000001" hidden="1" customHeight="1">
      <c r="A258" s="736" t="e">
        <f t="shared" si="106"/>
        <v>#REF!</v>
      </c>
      <c r="B258" s="296" t="s">
        <v>550</v>
      </c>
      <c r="C258" s="296" t="s">
        <v>1271</v>
      </c>
      <c r="D258" s="297" t="s">
        <v>2</v>
      </c>
      <c r="E258" s="788"/>
      <c r="F258" s="738"/>
      <c r="G258" s="738" t="e">
        <f>#REF!</f>
        <v>#REF!</v>
      </c>
      <c r="H258" s="738" t="e">
        <f>#REF!</f>
        <v>#REF!</v>
      </c>
      <c r="I258" s="739">
        <f t="shared" si="145"/>
        <v>0</v>
      </c>
      <c r="J258" s="739" t="e">
        <f t="shared" si="146"/>
        <v>#REF!</v>
      </c>
      <c r="K258" s="740" t="e">
        <f t="shared" si="147"/>
        <v>#REF!</v>
      </c>
      <c r="L258" s="735" t="e">
        <f t="shared" si="110"/>
        <v>#REF!</v>
      </c>
      <c r="N258" s="741" t="e">
        <f t="shared" si="92"/>
        <v>#REF!</v>
      </c>
      <c r="O258" s="741" t="e">
        <f t="shared" si="93"/>
        <v>#REF!</v>
      </c>
    </row>
    <row r="259" spans="1:15" s="298" customFormat="1" ht="17.100000000000001" customHeight="1">
      <c r="A259" s="736" t="e">
        <f t="shared" si="106"/>
        <v>#REF!</v>
      </c>
      <c r="B259" s="296" t="s">
        <v>616</v>
      </c>
      <c r="C259" s="296" t="s">
        <v>1858</v>
      </c>
      <c r="D259" s="297" t="s">
        <v>2</v>
      </c>
      <c r="E259" s="788"/>
      <c r="F259" s="738"/>
      <c r="G259" s="738" t="e">
        <f>#REF!</f>
        <v>#REF!</v>
      </c>
      <c r="H259" s="738" t="e">
        <f>#REF!</f>
        <v>#REF!</v>
      </c>
      <c r="I259" s="739">
        <f t="shared" ref="I259" si="158">E259*F259</f>
        <v>0</v>
      </c>
      <c r="J259" s="739" t="e">
        <f t="shared" ref="J259" si="159">E259*G259</f>
        <v>#REF!</v>
      </c>
      <c r="K259" s="740" t="e">
        <f t="shared" ref="K259" si="160">E259*H259</f>
        <v>#REF!</v>
      </c>
      <c r="L259" s="735" t="e">
        <f t="shared" si="110"/>
        <v>#REF!</v>
      </c>
      <c r="N259" s="741" t="e">
        <f t="shared" si="92"/>
        <v>#REF!</v>
      </c>
      <c r="O259" s="741" t="e">
        <f t="shared" si="93"/>
        <v>#REF!</v>
      </c>
    </row>
    <row r="260" spans="1:15" s="298" customFormat="1" ht="17.100000000000001" hidden="1" customHeight="1">
      <c r="A260" s="736" t="e">
        <f t="shared" si="106"/>
        <v>#REF!</v>
      </c>
      <c r="B260" s="296" t="s">
        <v>1497</v>
      </c>
      <c r="C260" s="296" t="s">
        <v>1859</v>
      </c>
      <c r="D260" s="297" t="s">
        <v>2</v>
      </c>
      <c r="E260" s="788"/>
      <c r="F260" s="738"/>
      <c r="G260" s="738" t="e">
        <f>#REF!</f>
        <v>#REF!</v>
      </c>
      <c r="H260" s="738" t="e">
        <f>#REF!</f>
        <v>#REF!</v>
      </c>
      <c r="I260" s="739">
        <f t="shared" ref="I260:I261" si="161">E260*F260</f>
        <v>0</v>
      </c>
      <c r="J260" s="739" t="e">
        <f t="shared" ref="J260:J261" si="162">E260*G260</f>
        <v>#REF!</v>
      </c>
      <c r="K260" s="740" t="e">
        <f t="shared" ref="K260:K261" si="163">E260*H260</f>
        <v>#REF!</v>
      </c>
      <c r="L260" s="735" t="e">
        <f t="shared" si="110"/>
        <v>#REF!</v>
      </c>
      <c r="N260" s="741" t="e">
        <f t="shared" ref="N260:N386" si="164">SUM(F260:H260)*1.278</f>
        <v>#REF!</v>
      </c>
      <c r="O260" s="741" t="e">
        <f t="shared" ref="O260:O386" si="165">N260*E260</f>
        <v>#REF!</v>
      </c>
    </row>
    <row r="261" spans="1:15" s="298" customFormat="1" ht="17.100000000000001" hidden="1" customHeight="1">
      <c r="A261" s="736" t="e">
        <f t="shared" si="106"/>
        <v>#REF!</v>
      </c>
      <c r="B261" s="296" t="s">
        <v>600</v>
      </c>
      <c r="C261" s="296" t="s">
        <v>865</v>
      </c>
      <c r="D261" s="297" t="s">
        <v>2</v>
      </c>
      <c r="E261" s="788"/>
      <c r="F261" s="738" t="e">
        <f>#REF!</f>
        <v>#REF!</v>
      </c>
      <c r="G261" s="738"/>
      <c r="H261" s="738"/>
      <c r="I261" s="739" t="e">
        <f t="shared" si="161"/>
        <v>#REF!</v>
      </c>
      <c r="J261" s="739">
        <f t="shared" si="162"/>
        <v>0</v>
      </c>
      <c r="K261" s="740">
        <f t="shared" si="163"/>
        <v>0</v>
      </c>
      <c r="L261" s="735" t="e">
        <f t="shared" si="110"/>
        <v>#REF!</v>
      </c>
      <c r="N261" s="741" t="e">
        <f t="shared" si="164"/>
        <v>#REF!</v>
      </c>
      <c r="O261" s="741" t="e">
        <f t="shared" si="165"/>
        <v>#REF!</v>
      </c>
    </row>
    <row r="262" spans="1:15" s="298" customFormat="1" ht="17.100000000000001" customHeight="1">
      <c r="A262" s="736" t="e">
        <f t="shared" si="106"/>
        <v>#REF!</v>
      </c>
      <c r="B262" s="296" t="s">
        <v>617</v>
      </c>
      <c r="C262" s="296" t="s">
        <v>1994</v>
      </c>
      <c r="D262" s="297" t="s">
        <v>2</v>
      </c>
      <c r="E262" s="788"/>
      <c r="F262" s="738"/>
      <c r="G262" s="738" t="e">
        <f>#REF!</f>
        <v>#REF!</v>
      </c>
      <c r="H262" s="738" t="e">
        <f>#REF!</f>
        <v>#REF!</v>
      </c>
      <c r="I262" s="739">
        <f t="shared" si="145"/>
        <v>0</v>
      </c>
      <c r="J262" s="739" t="e">
        <f t="shared" si="146"/>
        <v>#REF!</v>
      </c>
      <c r="K262" s="740" t="e">
        <f t="shared" si="147"/>
        <v>#REF!</v>
      </c>
      <c r="L262" s="735" t="e">
        <f t="shared" si="110"/>
        <v>#REF!</v>
      </c>
      <c r="N262" s="741" t="e">
        <f t="shared" si="164"/>
        <v>#REF!</v>
      </c>
      <c r="O262" s="741" t="e">
        <f t="shared" si="165"/>
        <v>#REF!</v>
      </c>
    </row>
    <row r="263" spans="1:15" s="298" customFormat="1" ht="17.100000000000001" hidden="1" customHeight="1">
      <c r="A263" s="736" t="e">
        <f t="shared" si="106"/>
        <v>#REF!</v>
      </c>
      <c r="B263" s="296" t="s">
        <v>1425</v>
      </c>
      <c r="C263" s="296" t="s">
        <v>1842</v>
      </c>
      <c r="D263" s="297" t="s">
        <v>2</v>
      </c>
      <c r="E263" s="788"/>
      <c r="F263" s="738"/>
      <c r="G263" s="738"/>
      <c r="H263" s="738" t="e">
        <f>#REF!</f>
        <v>#REF!</v>
      </c>
      <c r="I263" s="739">
        <f>E263*F263</f>
        <v>0</v>
      </c>
      <c r="J263" s="739">
        <f>E263*G263</f>
        <v>0</v>
      </c>
      <c r="K263" s="740" t="e">
        <f>E263*H263</f>
        <v>#REF!</v>
      </c>
      <c r="L263" s="735" t="e">
        <f t="shared" si="110"/>
        <v>#REF!</v>
      </c>
      <c r="N263" s="741" t="e">
        <f t="shared" ref="N263" si="166">SUM(F263:H263)*1.278</f>
        <v>#REF!</v>
      </c>
      <c r="O263" s="741" t="e">
        <f t="shared" si="165"/>
        <v>#REF!</v>
      </c>
    </row>
    <row r="264" spans="1:15" s="298" customFormat="1" ht="17.100000000000001" hidden="1" customHeight="1">
      <c r="A264" s="736" t="e">
        <f t="shared" si="106"/>
        <v>#REF!</v>
      </c>
      <c r="B264" s="296" t="s">
        <v>1491</v>
      </c>
      <c r="C264" s="296" t="s">
        <v>1498</v>
      </c>
      <c r="D264" s="297" t="s">
        <v>2</v>
      </c>
      <c r="E264" s="788"/>
      <c r="F264" s="738"/>
      <c r="G264" s="738"/>
      <c r="H264" s="738" t="e">
        <f>#REF!</f>
        <v>#REF!</v>
      </c>
      <c r="I264" s="739">
        <f t="shared" si="145"/>
        <v>0</v>
      </c>
      <c r="J264" s="739">
        <f t="shared" si="146"/>
        <v>0</v>
      </c>
      <c r="K264" s="740" t="e">
        <f t="shared" si="147"/>
        <v>#REF!</v>
      </c>
      <c r="L264" s="735" t="e">
        <f t="shared" si="110"/>
        <v>#REF!</v>
      </c>
      <c r="N264" s="741" t="e">
        <f t="shared" si="164"/>
        <v>#REF!</v>
      </c>
      <c r="O264" s="741" t="e">
        <f t="shared" si="165"/>
        <v>#REF!</v>
      </c>
    </row>
    <row r="265" spans="1:15" s="298" customFormat="1" ht="17.100000000000001" customHeight="1">
      <c r="A265" s="736" t="e">
        <f t="shared" si="106"/>
        <v>#REF!</v>
      </c>
      <c r="B265" s="296" t="s">
        <v>1992</v>
      </c>
      <c r="C265" s="296" t="s">
        <v>1993</v>
      </c>
      <c r="D265" s="297" t="s">
        <v>2</v>
      </c>
      <c r="E265" s="788"/>
      <c r="F265" s="738"/>
      <c r="G265" s="738"/>
      <c r="H265" s="738" t="e">
        <f>#REF!</f>
        <v>#REF!</v>
      </c>
      <c r="I265" s="739">
        <f t="shared" ref="I265" si="167">E265*F265</f>
        <v>0</v>
      </c>
      <c r="J265" s="739">
        <f t="shared" ref="J265" si="168">E265*G265</f>
        <v>0</v>
      </c>
      <c r="K265" s="740" t="e">
        <f t="shared" ref="K265" si="169">E265*H265</f>
        <v>#REF!</v>
      </c>
      <c r="L265" s="735" t="e">
        <f t="shared" ref="L265" si="170">IF(OR(SUM(I265:K265)&lt;&gt;0,B265="*"),$L$5,0)</f>
        <v>#REF!</v>
      </c>
      <c r="N265" s="741" t="e">
        <f t="shared" ref="N265" si="171">SUM(F265:H265)*1.278</f>
        <v>#REF!</v>
      </c>
      <c r="O265" s="741" t="e">
        <f t="shared" ref="O265" si="172">N265*E265</f>
        <v>#REF!</v>
      </c>
    </row>
    <row r="266" spans="1:15" s="298" customFormat="1" ht="17.100000000000001" customHeight="1">
      <c r="A266" s="736" t="e">
        <f t="shared" ref="A266:A330" si="173">IF(SUM(F266:H266)&lt;&gt;0,A265+L266,A265)</f>
        <v>#REF!</v>
      </c>
      <c r="B266" s="296" t="s">
        <v>1992</v>
      </c>
      <c r="C266" s="296" t="s">
        <v>1996</v>
      </c>
      <c r="D266" s="297" t="s">
        <v>2</v>
      </c>
      <c r="E266" s="788"/>
      <c r="F266" s="738"/>
      <c r="G266" s="738"/>
      <c r="H266" s="738" t="e">
        <f>#REF!</f>
        <v>#REF!</v>
      </c>
      <c r="I266" s="739">
        <f t="shared" si="145"/>
        <v>0</v>
      </c>
      <c r="J266" s="739">
        <f t="shared" si="146"/>
        <v>0</v>
      </c>
      <c r="K266" s="740" t="e">
        <f t="shared" si="147"/>
        <v>#REF!</v>
      </c>
      <c r="L266" s="735" t="e">
        <f t="shared" ref="L266" si="174">IF(OR(SUM(I266:K266)&lt;&gt;0,B266="*"),$L$5,0)</f>
        <v>#REF!</v>
      </c>
      <c r="N266" s="741" t="e">
        <f t="shared" ref="N266" si="175">SUM(F266:H266)*1.278</f>
        <v>#REF!</v>
      </c>
      <c r="O266" s="741" t="e">
        <f t="shared" si="165"/>
        <v>#REF!</v>
      </c>
    </row>
    <row r="267" spans="1:15" s="298" customFormat="1" ht="17.100000000000001" hidden="1" customHeight="1">
      <c r="A267" s="736" t="e">
        <f t="shared" si="173"/>
        <v>#REF!</v>
      </c>
      <c r="B267" s="296" t="s">
        <v>1457</v>
      </c>
      <c r="C267" s="296" t="s">
        <v>1763</v>
      </c>
      <c r="D267" s="297" t="s">
        <v>2</v>
      </c>
      <c r="E267" s="788"/>
      <c r="F267" s="738"/>
      <c r="G267" s="738"/>
      <c r="H267" s="738" t="e">
        <f>#REF!</f>
        <v>#REF!</v>
      </c>
      <c r="I267" s="739">
        <f t="shared" ref="I267" si="176">E267*F267</f>
        <v>0</v>
      </c>
      <c r="J267" s="739">
        <f t="shared" ref="J267" si="177">E267*G267</f>
        <v>0</v>
      </c>
      <c r="K267" s="740" t="e">
        <f t="shared" ref="K267" si="178">E267*H267</f>
        <v>#REF!</v>
      </c>
      <c r="L267" s="735" t="e">
        <f t="shared" ref="L267" si="179">IF(OR(SUM(I267:K267)&lt;&gt;0,B267="*"),$L$5,0)</f>
        <v>#REF!</v>
      </c>
      <c r="N267" s="741" t="e">
        <f t="shared" ref="N267" si="180">SUM(F267:H267)*1.278</f>
        <v>#REF!</v>
      </c>
      <c r="O267" s="741" t="e">
        <f t="shared" ref="O267" si="181">N267*E267</f>
        <v>#REF!</v>
      </c>
    </row>
    <row r="268" spans="1:15" s="298" customFormat="1" ht="17.100000000000001" hidden="1" customHeight="1">
      <c r="A268" s="736" t="e">
        <f t="shared" si="173"/>
        <v>#REF!</v>
      </c>
      <c r="B268" s="296" t="s">
        <v>1491</v>
      </c>
      <c r="C268" s="296" t="s">
        <v>1499</v>
      </c>
      <c r="D268" s="297" t="s">
        <v>2</v>
      </c>
      <c r="E268" s="788"/>
      <c r="F268" s="738"/>
      <c r="G268" s="738"/>
      <c r="H268" s="738" t="e">
        <f>#REF!</f>
        <v>#REF!</v>
      </c>
      <c r="I268" s="739">
        <f t="shared" ref="I268:I271" si="182">E268*F268</f>
        <v>0</v>
      </c>
      <c r="J268" s="739">
        <f t="shared" ref="J268:J271" si="183">E268*G268</f>
        <v>0</v>
      </c>
      <c r="K268" s="740" t="e">
        <f t="shared" ref="K268:K271" si="184">E268*H268</f>
        <v>#REF!</v>
      </c>
      <c r="L268" s="735" t="e">
        <f t="shared" si="110"/>
        <v>#REF!</v>
      </c>
      <c r="N268" s="741" t="e">
        <f t="shared" si="164"/>
        <v>#REF!</v>
      </c>
      <c r="O268" s="741" t="e">
        <f t="shared" si="165"/>
        <v>#REF!</v>
      </c>
    </row>
    <row r="269" spans="1:15" s="298" customFormat="1" ht="17.100000000000001" hidden="1" customHeight="1">
      <c r="A269" s="736" t="e">
        <f t="shared" si="173"/>
        <v>#REF!</v>
      </c>
      <c r="B269" s="296" t="s">
        <v>1500</v>
      </c>
      <c r="C269" s="296" t="s">
        <v>1501</v>
      </c>
      <c r="D269" s="297" t="s">
        <v>2</v>
      </c>
      <c r="E269" s="788"/>
      <c r="F269" s="738"/>
      <c r="G269" s="738"/>
      <c r="H269" s="738" t="e">
        <f>#REF!</f>
        <v>#REF!</v>
      </c>
      <c r="I269" s="739">
        <f t="shared" si="182"/>
        <v>0</v>
      </c>
      <c r="J269" s="739">
        <f t="shared" si="183"/>
        <v>0</v>
      </c>
      <c r="K269" s="740" t="e">
        <f t="shared" si="184"/>
        <v>#REF!</v>
      </c>
      <c r="L269" s="735" t="e">
        <f t="shared" si="110"/>
        <v>#REF!</v>
      </c>
      <c r="N269" s="741" t="e">
        <f t="shared" si="164"/>
        <v>#REF!</v>
      </c>
      <c r="O269" s="741" t="e">
        <f t="shared" si="165"/>
        <v>#REF!</v>
      </c>
    </row>
    <row r="270" spans="1:15" s="298" customFormat="1" ht="17.100000000000001" hidden="1" customHeight="1">
      <c r="A270" s="736" t="e">
        <f t="shared" si="173"/>
        <v>#REF!</v>
      </c>
      <c r="B270" s="296" t="s">
        <v>612</v>
      </c>
      <c r="C270" s="296" t="s">
        <v>1843</v>
      </c>
      <c r="D270" s="297" t="s">
        <v>9</v>
      </c>
      <c r="E270" s="788"/>
      <c r="F270" s="738"/>
      <c r="G270" s="738"/>
      <c r="H270" s="738" t="e">
        <f>#REF!</f>
        <v>#REF!</v>
      </c>
      <c r="I270" s="739">
        <f t="shared" si="182"/>
        <v>0</v>
      </c>
      <c r="J270" s="739">
        <f t="shared" si="183"/>
        <v>0</v>
      </c>
      <c r="K270" s="740" t="e">
        <f t="shared" si="184"/>
        <v>#REF!</v>
      </c>
      <c r="L270" s="735" t="e">
        <f>IF(OR(SUM(I270:K270)&lt;&gt;0,B270="*"),$L$5,0)</f>
        <v>#REF!</v>
      </c>
      <c r="N270" s="741" t="e">
        <f>SUM(F270:H270)*1.278</f>
        <v>#REF!</v>
      </c>
      <c r="O270" s="741" t="e">
        <f>N270*E270</f>
        <v>#REF!</v>
      </c>
    </row>
    <row r="271" spans="1:15" s="298" customFormat="1" ht="17.100000000000001" hidden="1" customHeight="1">
      <c r="A271" s="736" t="e">
        <f t="shared" si="173"/>
        <v>#REF!</v>
      </c>
      <c r="B271" s="296" t="s">
        <v>1445</v>
      </c>
      <c r="C271" s="296" t="s">
        <v>1446</v>
      </c>
      <c r="D271" s="297" t="s">
        <v>2</v>
      </c>
      <c r="E271" s="788"/>
      <c r="F271" s="738" t="e">
        <f>#REF!</f>
        <v>#REF!</v>
      </c>
      <c r="G271" s="738" t="e">
        <f>#REF!</f>
        <v>#REF!</v>
      </c>
      <c r="H271" s="738" t="e">
        <f>#REF!</f>
        <v>#REF!</v>
      </c>
      <c r="I271" s="739" t="e">
        <f t="shared" si="182"/>
        <v>#REF!</v>
      </c>
      <c r="J271" s="739" t="e">
        <f t="shared" si="183"/>
        <v>#REF!</v>
      </c>
      <c r="K271" s="740" t="e">
        <f t="shared" si="184"/>
        <v>#REF!</v>
      </c>
      <c r="L271" s="735" t="e">
        <f t="shared" ref="L271:L279" si="185">IF(OR(SUM(I271:K271)&lt;&gt;0,B271="*"),$L$5,0)</f>
        <v>#REF!</v>
      </c>
      <c r="N271" s="741" t="e">
        <f t="shared" ref="N271:N272" si="186">SUM(F271:H271)*1.278</f>
        <v>#REF!</v>
      </c>
      <c r="O271" s="741" t="e">
        <f t="shared" ref="O271:O279" si="187">N271*E271</f>
        <v>#REF!</v>
      </c>
    </row>
    <row r="272" spans="1:15" s="298" customFormat="1" ht="17.100000000000001" hidden="1" customHeight="1">
      <c r="A272" s="736" t="e">
        <f t="shared" si="173"/>
        <v>#REF!</v>
      </c>
      <c r="B272" s="296" t="s">
        <v>1447</v>
      </c>
      <c r="C272" s="296" t="s">
        <v>1448</v>
      </c>
      <c r="D272" s="297" t="s">
        <v>2</v>
      </c>
      <c r="E272" s="788"/>
      <c r="F272" s="738"/>
      <c r="G272" s="738" t="e">
        <f>#REF!</f>
        <v>#REF!</v>
      </c>
      <c r="H272" s="738" t="e">
        <f>#REF!</f>
        <v>#REF!</v>
      </c>
      <c r="I272" s="739">
        <f>E272*F272</f>
        <v>0</v>
      </c>
      <c r="J272" s="739" t="e">
        <f>E272*G272</f>
        <v>#REF!</v>
      </c>
      <c r="K272" s="740" t="e">
        <f>E272*H272</f>
        <v>#REF!</v>
      </c>
      <c r="L272" s="735" t="e">
        <f t="shared" si="185"/>
        <v>#REF!</v>
      </c>
      <c r="N272" s="741" t="e">
        <f t="shared" si="186"/>
        <v>#REF!</v>
      </c>
      <c r="O272" s="741" t="e">
        <f t="shared" si="187"/>
        <v>#REF!</v>
      </c>
    </row>
    <row r="273" spans="1:18" s="298" customFormat="1" ht="17.100000000000001" hidden="1" customHeight="1">
      <c r="A273" s="736" t="e">
        <f t="shared" si="173"/>
        <v>#REF!</v>
      </c>
      <c r="B273" s="296" t="s">
        <v>574</v>
      </c>
      <c r="C273" s="296" t="s">
        <v>1449</v>
      </c>
      <c r="D273" s="297" t="s">
        <v>2</v>
      </c>
      <c r="E273" s="788"/>
      <c r="F273" s="738"/>
      <c r="G273" s="738" t="e">
        <f>#REF!</f>
        <v>#REF!</v>
      </c>
      <c r="H273" s="738" t="e">
        <f>#REF!</f>
        <v>#REF!</v>
      </c>
      <c r="I273" s="739">
        <f t="shared" ref="I273" si="188">E273*F273</f>
        <v>0</v>
      </c>
      <c r="J273" s="739" t="e">
        <f t="shared" ref="J273" si="189">E273*G273</f>
        <v>#REF!</v>
      </c>
      <c r="K273" s="740" t="e">
        <f t="shared" ref="K273" si="190">E273*H273</f>
        <v>#REF!</v>
      </c>
      <c r="L273" s="735" t="e">
        <f t="shared" si="185"/>
        <v>#REF!</v>
      </c>
      <c r="N273" s="741" t="e">
        <f t="shared" ref="N273:N279" si="191">SUM(F273:H273)*1.278</f>
        <v>#REF!</v>
      </c>
      <c r="O273" s="741" t="e">
        <f t="shared" si="187"/>
        <v>#REF!</v>
      </c>
    </row>
    <row r="274" spans="1:18" s="298" customFormat="1" ht="17.100000000000001" customHeight="1">
      <c r="A274" s="736" t="e">
        <f t="shared" si="173"/>
        <v>#REF!</v>
      </c>
      <c r="B274" s="296" t="s">
        <v>1450</v>
      </c>
      <c r="C274" s="296" t="s">
        <v>2011</v>
      </c>
      <c r="D274" s="297" t="s">
        <v>2</v>
      </c>
      <c r="E274" s="788"/>
      <c r="F274" s="738"/>
      <c r="G274" s="738" t="e">
        <f>#REF!</f>
        <v>#REF!</v>
      </c>
      <c r="H274" s="738" t="e">
        <f>#REF!</f>
        <v>#REF!</v>
      </c>
      <c r="I274" s="739">
        <f>E274*F274</f>
        <v>0</v>
      </c>
      <c r="J274" s="739" t="e">
        <f>E274*G274</f>
        <v>#REF!</v>
      </c>
      <c r="K274" s="740" t="e">
        <f>E274*H274</f>
        <v>#REF!</v>
      </c>
      <c r="L274" s="735" t="e">
        <f t="shared" si="185"/>
        <v>#REF!</v>
      </c>
      <c r="N274" s="741" t="e">
        <f t="shared" si="191"/>
        <v>#REF!</v>
      </c>
      <c r="O274" s="741" t="e">
        <f t="shared" si="187"/>
        <v>#REF!</v>
      </c>
    </row>
    <row r="275" spans="1:18" s="298" customFormat="1" ht="17.100000000000001" hidden="1" customHeight="1">
      <c r="A275" s="736" t="e">
        <f t="shared" si="173"/>
        <v>#REF!</v>
      </c>
      <c r="B275" s="296" t="s">
        <v>1452</v>
      </c>
      <c r="C275" s="296" t="s">
        <v>1453</v>
      </c>
      <c r="D275" s="297" t="s">
        <v>2</v>
      </c>
      <c r="E275" s="788"/>
      <c r="F275" s="738"/>
      <c r="G275" s="738" t="e">
        <f>#REF!</f>
        <v>#REF!</v>
      </c>
      <c r="H275" s="738" t="e">
        <f>#REF!</f>
        <v>#REF!</v>
      </c>
      <c r="I275" s="739">
        <f t="shared" ref="I275:I279" si="192">E275*F275</f>
        <v>0</v>
      </c>
      <c r="J275" s="739" t="e">
        <f t="shared" ref="J275:J279" si="193">E275*G275</f>
        <v>#REF!</v>
      </c>
      <c r="K275" s="740" t="e">
        <f t="shared" ref="K275:K279" si="194">E275*H275</f>
        <v>#REF!</v>
      </c>
      <c r="L275" s="735" t="e">
        <f t="shared" si="185"/>
        <v>#REF!</v>
      </c>
      <c r="N275" s="741" t="e">
        <f t="shared" si="191"/>
        <v>#REF!</v>
      </c>
      <c r="O275" s="741" t="e">
        <f t="shared" si="187"/>
        <v>#REF!</v>
      </c>
    </row>
    <row r="276" spans="1:18" s="298" customFormat="1" ht="17.100000000000001" customHeight="1">
      <c r="A276" s="736" t="e">
        <f t="shared" si="173"/>
        <v>#REF!</v>
      </c>
      <c r="B276" s="296" t="s">
        <v>1454</v>
      </c>
      <c r="C276" s="296" t="s">
        <v>1455</v>
      </c>
      <c r="D276" s="297" t="s">
        <v>2</v>
      </c>
      <c r="E276" s="788"/>
      <c r="F276" s="738"/>
      <c r="G276" s="738" t="e">
        <f>#REF!</f>
        <v>#REF!</v>
      </c>
      <c r="H276" s="738" t="e">
        <f>#REF!</f>
        <v>#REF!</v>
      </c>
      <c r="I276" s="739">
        <f t="shared" si="192"/>
        <v>0</v>
      </c>
      <c r="J276" s="739" t="e">
        <f t="shared" si="193"/>
        <v>#REF!</v>
      </c>
      <c r="K276" s="740" t="e">
        <f t="shared" si="194"/>
        <v>#REF!</v>
      </c>
      <c r="L276" s="735" t="e">
        <f t="shared" si="185"/>
        <v>#REF!</v>
      </c>
      <c r="N276" s="741" t="e">
        <f t="shared" si="191"/>
        <v>#REF!</v>
      </c>
      <c r="O276" s="741" t="e">
        <f t="shared" si="187"/>
        <v>#REF!</v>
      </c>
    </row>
    <row r="277" spans="1:18" s="298" customFormat="1" ht="17.100000000000001" customHeight="1">
      <c r="A277" s="736" t="e">
        <f t="shared" si="173"/>
        <v>#REF!</v>
      </c>
      <c r="B277" s="296" t="s">
        <v>2012</v>
      </c>
      <c r="C277" s="296" t="s">
        <v>2013</v>
      </c>
      <c r="D277" s="297" t="s">
        <v>2</v>
      </c>
      <c r="E277" s="788"/>
      <c r="F277" s="738"/>
      <c r="G277" s="738"/>
      <c r="H277" s="738" t="e">
        <f>#REF!</f>
        <v>#REF!</v>
      </c>
      <c r="I277" s="739">
        <f t="shared" si="192"/>
        <v>0</v>
      </c>
      <c r="J277" s="739">
        <f t="shared" si="193"/>
        <v>0</v>
      </c>
      <c r="K277" s="740" t="e">
        <f t="shared" si="194"/>
        <v>#REF!</v>
      </c>
      <c r="L277" s="735" t="e">
        <f t="shared" si="185"/>
        <v>#REF!</v>
      </c>
      <c r="N277" s="741" t="e">
        <f t="shared" ref="N277" si="195">SUM(F277:H277)*1.278</f>
        <v>#REF!</v>
      </c>
      <c r="O277" s="741" t="e">
        <f t="shared" si="187"/>
        <v>#REF!</v>
      </c>
    </row>
    <row r="278" spans="1:18" s="298" customFormat="1" ht="17.100000000000001" hidden="1" customHeight="1">
      <c r="A278" s="736" t="e">
        <f t="shared" si="173"/>
        <v>#REF!</v>
      </c>
      <c r="B278" s="296" t="s">
        <v>1985</v>
      </c>
      <c r="C278" s="296" t="s">
        <v>1986</v>
      </c>
      <c r="D278" s="297" t="s">
        <v>2</v>
      </c>
      <c r="E278" s="788"/>
      <c r="F278" s="738"/>
      <c r="G278" s="738"/>
      <c r="H278" s="738" t="e">
        <f>#REF!</f>
        <v>#REF!</v>
      </c>
      <c r="I278" s="739">
        <f t="shared" ref="I278" si="196">E278*F278</f>
        <v>0</v>
      </c>
      <c r="J278" s="739">
        <f t="shared" ref="J278" si="197">E278*G278</f>
        <v>0</v>
      </c>
      <c r="K278" s="740" t="e">
        <f t="shared" ref="K278" si="198">E278*H278</f>
        <v>#REF!</v>
      </c>
      <c r="L278" s="735" t="e">
        <f t="shared" ref="L278" si="199">IF(OR(SUM(I278:K278)&lt;&gt;0,B278="*"),$L$5,0)</f>
        <v>#REF!</v>
      </c>
      <c r="N278" s="741" t="e">
        <f t="shared" ref="N278" si="200">SUM(F278:H278)*1.278</f>
        <v>#REF!</v>
      </c>
      <c r="O278" s="741" t="e">
        <f t="shared" ref="O278" si="201">N278*E278</f>
        <v>#REF!</v>
      </c>
    </row>
    <row r="279" spans="1:18" s="298" customFormat="1" ht="17.100000000000001" hidden="1" customHeight="1">
      <c r="A279" s="736" t="e">
        <f t="shared" si="173"/>
        <v>#REF!</v>
      </c>
      <c r="B279" s="296" t="s">
        <v>1654</v>
      </c>
      <c r="C279" s="296" t="s">
        <v>1655</v>
      </c>
      <c r="D279" s="297" t="s">
        <v>2</v>
      </c>
      <c r="E279" s="788"/>
      <c r="F279" s="738"/>
      <c r="G279" s="738"/>
      <c r="H279" s="738" t="e">
        <f>#REF!</f>
        <v>#REF!</v>
      </c>
      <c r="I279" s="739">
        <f t="shared" si="192"/>
        <v>0</v>
      </c>
      <c r="J279" s="739">
        <f t="shared" si="193"/>
        <v>0</v>
      </c>
      <c r="K279" s="740" t="e">
        <f t="shared" si="194"/>
        <v>#REF!</v>
      </c>
      <c r="L279" s="735" t="e">
        <f t="shared" si="185"/>
        <v>#REF!</v>
      </c>
      <c r="N279" s="741" t="e">
        <f t="shared" si="191"/>
        <v>#REF!</v>
      </c>
      <c r="O279" s="741" t="e">
        <f t="shared" si="187"/>
        <v>#REF!</v>
      </c>
    </row>
    <row r="280" spans="1:18" s="298" customFormat="1" ht="17.100000000000001" hidden="1" customHeight="1">
      <c r="A280" s="736" t="e">
        <f t="shared" si="173"/>
        <v>#REF!</v>
      </c>
      <c r="B280" s="296"/>
      <c r="C280" s="737" t="s">
        <v>1865</v>
      </c>
      <c r="D280" s="297" t="s">
        <v>0</v>
      </c>
      <c r="E280" s="788"/>
      <c r="F280" s="738"/>
      <c r="G280" s="738"/>
      <c r="H280" s="738"/>
      <c r="I280" s="739"/>
      <c r="J280" s="739"/>
      <c r="K280" s="740"/>
      <c r="L280" s="735">
        <f t="shared" ref="L280:L284" si="202">IF(OR(SUM(I280:K280)&lt;&gt;0,B280="*"),$L$5,0)</f>
        <v>0</v>
      </c>
      <c r="N280" s="741">
        <f t="shared" ref="N280" si="203">SUM(F280:H280)*1.278</f>
        <v>0</v>
      </c>
      <c r="O280" s="741">
        <f t="shared" ref="O280:O285" si="204">N280*E280</f>
        <v>0</v>
      </c>
    </row>
    <row r="281" spans="1:18" s="298" customFormat="1" ht="17.100000000000001" customHeight="1">
      <c r="A281" s="736" t="e">
        <f t="shared" si="173"/>
        <v>#REF!</v>
      </c>
      <c r="B281" s="296" t="s">
        <v>6</v>
      </c>
      <c r="C281" s="296" t="s">
        <v>1866</v>
      </c>
      <c r="D281" s="297" t="s">
        <v>2</v>
      </c>
      <c r="E281" s="788"/>
      <c r="F281" s="738"/>
      <c r="G281" s="738" t="e">
        <f>#REF!</f>
        <v>#REF!</v>
      </c>
      <c r="H281" s="738" t="e">
        <f>#REF!</f>
        <v>#REF!</v>
      </c>
      <c r="I281" s="739">
        <f t="shared" ref="I281:I284" si="205">E281*F281</f>
        <v>0</v>
      </c>
      <c r="J281" s="739" t="e">
        <f t="shared" ref="J281:J284" si="206">E281*G281</f>
        <v>#REF!</v>
      </c>
      <c r="K281" s="740" t="e">
        <f t="shared" ref="K281:K284" si="207">E281*H281</f>
        <v>#REF!</v>
      </c>
      <c r="L281" s="735" t="e">
        <f t="shared" si="202"/>
        <v>#REF!</v>
      </c>
      <c r="N281" s="741" t="e">
        <f t="shared" ref="N281:N289" si="208">SUM(F281:H281)*1.278</f>
        <v>#REF!</v>
      </c>
      <c r="O281" s="741" t="e">
        <f t="shared" si="204"/>
        <v>#REF!</v>
      </c>
    </row>
    <row r="282" spans="1:18" s="298" customFormat="1" ht="17.100000000000001" customHeight="1">
      <c r="A282" s="736" t="e">
        <f t="shared" si="173"/>
        <v>#REF!</v>
      </c>
      <c r="B282" s="296" t="s">
        <v>1998</v>
      </c>
      <c r="C282" s="296" t="s">
        <v>1997</v>
      </c>
      <c r="D282" s="297" t="s">
        <v>2</v>
      </c>
      <c r="E282" s="788"/>
      <c r="F282" s="738"/>
      <c r="G282" s="738"/>
      <c r="H282" s="738" t="e">
        <f>#REF!</f>
        <v>#REF!</v>
      </c>
      <c r="I282" s="739">
        <f t="shared" si="205"/>
        <v>0</v>
      </c>
      <c r="J282" s="739">
        <f t="shared" si="206"/>
        <v>0</v>
      </c>
      <c r="K282" s="740" t="e">
        <f t="shared" si="207"/>
        <v>#REF!</v>
      </c>
      <c r="L282" s="735" t="e">
        <f t="shared" si="202"/>
        <v>#REF!</v>
      </c>
      <c r="N282" s="741" t="e">
        <f t="shared" si="208"/>
        <v>#REF!</v>
      </c>
      <c r="O282" s="741" t="e">
        <f t="shared" si="204"/>
        <v>#REF!</v>
      </c>
    </row>
    <row r="283" spans="1:18" s="298" customFormat="1" ht="17.100000000000001" hidden="1" customHeight="1">
      <c r="A283" s="736" t="e">
        <f t="shared" si="173"/>
        <v>#REF!</v>
      </c>
      <c r="B283" s="296" t="s">
        <v>612</v>
      </c>
      <c r="C283" s="296" t="s">
        <v>1867</v>
      </c>
      <c r="D283" s="297" t="s">
        <v>9</v>
      </c>
      <c r="E283" s="788"/>
      <c r="F283" s="738"/>
      <c r="G283" s="738"/>
      <c r="H283" s="738" t="e">
        <f>#REF!</f>
        <v>#REF!</v>
      </c>
      <c r="I283" s="739">
        <f t="shared" si="205"/>
        <v>0</v>
      </c>
      <c r="J283" s="739">
        <f t="shared" si="206"/>
        <v>0</v>
      </c>
      <c r="K283" s="740" t="e">
        <f t="shared" si="207"/>
        <v>#REF!</v>
      </c>
      <c r="L283" s="735" t="e">
        <f>IF(OR(SUM(I283:K283)&lt;&gt;0,B283="*"),$L$5,0)</f>
        <v>#REF!</v>
      </c>
      <c r="N283" s="741" t="e">
        <f t="shared" si="208"/>
        <v>#REF!</v>
      </c>
      <c r="O283" s="741" t="e">
        <f>N283*E283</f>
        <v>#REF!</v>
      </c>
    </row>
    <row r="284" spans="1:18" s="298" customFormat="1" ht="17.100000000000001" hidden="1" customHeight="1">
      <c r="A284" s="736" t="e">
        <f t="shared" si="173"/>
        <v>#REF!</v>
      </c>
      <c r="B284" s="296" t="s">
        <v>1522</v>
      </c>
      <c r="C284" s="296" t="s">
        <v>24</v>
      </c>
      <c r="D284" s="297" t="s">
        <v>2</v>
      </c>
      <c r="E284" s="788"/>
      <c r="F284" s="738" t="e">
        <f>#REF!</f>
        <v>#REF!</v>
      </c>
      <c r="G284" s="738" t="e">
        <f>#REF!</f>
        <v>#REF!</v>
      </c>
      <c r="H284" s="738" t="e">
        <f>#REF!</f>
        <v>#REF!</v>
      </c>
      <c r="I284" s="739" t="e">
        <f t="shared" si="205"/>
        <v>#REF!</v>
      </c>
      <c r="J284" s="739" t="e">
        <f t="shared" si="206"/>
        <v>#REF!</v>
      </c>
      <c r="K284" s="740" t="e">
        <f t="shared" si="207"/>
        <v>#REF!</v>
      </c>
      <c r="L284" s="735" t="e">
        <f t="shared" si="202"/>
        <v>#REF!</v>
      </c>
      <c r="N284" s="741" t="e">
        <f t="shared" si="208"/>
        <v>#REF!</v>
      </c>
      <c r="O284" s="741" t="e">
        <f t="shared" si="204"/>
        <v>#REF!</v>
      </c>
    </row>
    <row r="285" spans="1:18" s="298" customFormat="1" ht="17.100000000000001" hidden="1" customHeight="1">
      <c r="A285" s="736" t="e">
        <f t="shared" si="173"/>
        <v>#REF!</v>
      </c>
      <c r="B285" s="296" t="s">
        <v>32</v>
      </c>
      <c r="C285" s="296" t="s">
        <v>33</v>
      </c>
      <c r="D285" s="297" t="s">
        <v>34</v>
      </c>
      <c r="E285" s="788"/>
      <c r="F285" s="738" t="e">
        <f>#REF!</f>
        <v>#REF!</v>
      </c>
      <c r="G285" s="738"/>
      <c r="H285" s="738"/>
      <c r="I285" s="739" t="e">
        <f t="shared" ref="I285:I289" si="209">E285*F285</f>
        <v>#REF!</v>
      </c>
      <c r="J285" s="739">
        <f t="shared" ref="J285:J289" si="210">E285*G285</f>
        <v>0</v>
      </c>
      <c r="K285" s="740">
        <f t="shared" ref="K285:K289" si="211">E285*H285</f>
        <v>0</v>
      </c>
      <c r="L285" s="735" t="e">
        <f t="shared" ref="L285:L289" si="212">IF(OR(SUM(I285:K285)&lt;&gt;0,B285="*"),$L$5,0)</f>
        <v>#REF!</v>
      </c>
      <c r="N285" s="741" t="e">
        <f t="shared" si="208"/>
        <v>#REF!</v>
      </c>
      <c r="O285" s="741" t="e">
        <f t="shared" si="204"/>
        <v>#REF!</v>
      </c>
    </row>
    <row r="286" spans="1:18" s="1091" customFormat="1" ht="17.100000000000001" hidden="1" customHeight="1">
      <c r="A286" s="736" t="e">
        <f t="shared" si="173"/>
        <v>#REF!</v>
      </c>
      <c r="B286" s="1087" t="s">
        <v>1873</v>
      </c>
      <c r="C286" s="1087" t="s">
        <v>1874</v>
      </c>
      <c r="D286" s="1088" t="s">
        <v>310</v>
      </c>
      <c r="E286" s="1089"/>
      <c r="F286" s="738" t="e">
        <f>#REF!</f>
        <v>#REF!</v>
      </c>
      <c r="G286" s="738" t="e">
        <f>#REF!</f>
        <v>#REF!</v>
      </c>
      <c r="H286" s="738" t="e">
        <f>#REF!</f>
        <v>#REF!</v>
      </c>
      <c r="I286" s="739" t="e">
        <f t="shared" si="209"/>
        <v>#REF!</v>
      </c>
      <c r="J286" s="739" t="e">
        <f t="shared" si="210"/>
        <v>#REF!</v>
      </c>
      <c r="K286" s="740" t="e">
        <f t="shared" si="211"/>
        <v>#REF!</v>
      </c>
      <c r="L286" s="735" t="e">
        <f t="shared" si="212"/>
        <v>#REF!</v>
      </c>
      <c r="M286" s="1090"/>
      <c r="N286" s="741" t="e">
        <f t="shared" si="208"/>
        <v>#REF!</v>
      </c>
      <c r="O286" s="1045" t="e">
        <f t="shared" ref="O286:O288" si="213">IF(SUM(K286:M286)&lt;&gt;0,$O$5,0)</f>
        <v>#REF!</v>
      </c>
      <c r="Q286" s="1091" t="e">
        <f>'[2]Phan tich don gia'!E319</f>
        <v>#REF!</v>
      </c>
      <c r="R286" s="1091" t="e">
        <f>F286*Q286</f>
        <v>#REF!</v>
      </c>
    </row>
    <row r="287" spans="1:18" s="1091" customFormat="1" ht="17.100000000000001" hidden="1" customHeight="1">
      <c r="A287" s="736" t="e">
        <f t="shared" si="173"/>
        <v>#REF!</v>
      </c>
      <c r="B287" s="1087" t="s">
        <v>1875</v>
      </c>
      <c r="C287" s="1087" t="s">
        <v>1876</v>
      </c>
      <c r="D287" s="1088" t="s">
        <v>310</v>
      </c>
      <c r="E287" s="1089"/>
      <c r="F287" s="738" t="e">
        <f>#REF!</f>
        <v>#REF!</v>
      </c>
      <c r="G287" s="738" t="e">
        <f>#REF!</f>
        <v>#REF!</v>
      </c>
      <c r="H287" s="738" t="e">
        <f>#REF!</f>
        <v>#REF!</v>
      </c>
      <c r="I287" s="739" t="e">
        <f t="shared" ref="I287:I288" si="214">E287*F287</f>
        <v>#REF!</v>
      </c>
      <c r="J287" s="739" t="e">
        <f t="shared" ref="J287:J288" si="215">E287*G287</f>
        <v>#REF!</v>
      </c>
      <c r="K287" s="740" t="e">
        <f t="shared" ref="K287:K288" si="216">E287*H287</f>
        <v>#REF!</v>
      </c>
      <c r="L287" s="735" t="e">
        <f t="shared" ref="L287:L288" si="217">IF(OR(SUM(I287:K287)&lt;&gt;0,B287="*"),$L$5,0)</f>
        <v>#REF!</v>
      </c>
      <c r="M287" s="1090"/>
      <c r="N287" s="741" t="e">
        <f t="shared" si="208"/>
        <v>#REF!</v>
      </c>
      <c r="O287" s="1045" t="e">
        <f t="shared" si="213"/>
        <v>#REF!</v>
      </c>
      <c r="Q287" s="1091" t="e">
        <f>'[2]Phan tich don gia'!E326</f>
        <v>#REF!</v>
      </c>
      <c r="R287" s="1091" t="e">
        <f>F287*Q287</f>
        <v>#REF!</v>
      </c>
    </row>
    <row r="288" spans="1:18" s="1091" customFormat="1" ht="17.100000000000001" hidden="1" customHeight="1">
      <c r="A288" s="736" t="e">
        <f t="shared" si="173"/>
        <v>#REF!</v>
      </c>
      <c r="B288" s="1087" t="s">
        <v>1877</v>
      </c>
      <c r="C288" s="1087" t="s">
        <v>1878</v>
      </c>
      <c r="D288" s="1088" t="s">
        <v>310</v>
      </c>
      <c r="E288" s="1089"/>
      <c r="F288" s="738" t="e">
        <f>#REF!</f>
        <v>#REF!</v>
      </c>
      <c r="G288" s="738" t="e">
        <f>#REF!</f>
        <v>#REF!</v>
      </c>
      <c r="H288" s="738" t="e">
        <f>#REF!</f>
        <v>#REF!</v>
      </c>
      <c r="I288" s="739" t="e">
        <f t="shared" si="214"/>
        <v>#REF!</v>
      </c>
      <c r="J288" s="739" t="e">
        <f t="shared" si="215"/>
        <v>#REF!</v>
      </c>
      <c r="K288" s="740" t="e">
        <f t="shared" si="216"/>
        <v>#REF!</v>
      </c>
      <c r="L288" s="735" t="e">
        <f t="shared" si="217"/>
        <v>#REF!</v>
      </c>
      <c r="M288" s="1090"/>
      <c r="N288" s="741" t="e">
        <f t="shared" si="208"/>
        <v>#REF!</v>
      </c>
      <c r="O288" s="1045" t="e">
        <f t="shared" si="213"/>
        <v>#REF!</v>
      </c>
      <c r="Q288" s="1091" t="e">
        <f>'[2]Phan tich don gia'!E333</f>
        <v>#REF!</v>
      </c>
      <c r="R288" s="1091" t="e">
        <f>F288*Q288</f>
        <v>#REF!</v>
      </c>
    </row>
    <row r="289" spans="1:15" s="298" customFormat="1" ht="17.100000000000001" hidden="1" customHeight="1">
      <c r="A289" s="736" t="e">
        <f t="shared" si="173"/>
        <v>#REF!</v>
      </c>
      <c r="B289" s="296"/>
      <c r="C289" s="737" t="s">
        <v>1868</v>
      </c>
      <c r="D289" s="297"/>
      <c r="E289" s="788"/>
      <c r="F289" s="738"/>
      <c r="G289" s="738"/>
      <c r="H289" s="738"/>
      <c r="I289" s="739">
        <f t="shared" si="209"/>
        <v>0</v>
      </c>
      <c r="J289" s="739">
        <f t="shared" si="210"/>
        <v>0</v>
      </c>
      <c r="K289" s="740">
        <f t="shared" si="211"/>
        <v>0</v>
      </c>
      <c r="L289" s="735">
        <f t="shared" si="212"/>
        <v>0</v>
      </c>
      <c r="N289" s="741">
        <f t="shared" si="208"/>
        <v>0</v>
      </c>
      <c r="O289" s="741">
        <f t="shared" ref="O289" si="218">N289*E289</f>
        <v>0</v>
      </c>
    </row>
    <row r="290" spans="1:15" s="298" customFormat="1" ht="17.100000000000001" hidden="1" customHeight="1">
      <c r="A290" s="736" t="e">
        <f t="shared" si="173"/>
        <v>#REF!</v>
      </c>
      <c r="B290" s="296" t="s">
        <v>22</v>
      </c>
      <c r="C290" s="296" t="s">
        <v>1764</v>
      </c>
      <c r="D290" s="297" t="s">
        <v>2</v>
      </c>
      <c r="E290" s="788"/>
      <c r="F290" s="738" t="e">
        <f>#REF!</f>
        <v>#REF!</v>
      </c>
      <c r="G290" s="738" t="e">
        <f>#REF!</f>
        <v>#REF!</v>
      </c>
      <c r="H290" s="738" t="e">
        <f>#REF!</f>
        <v>#REF!</v>
      </c>
      <c r="I290" s="739" t="e">
        <f t="shared" ref="I290:I291" si="219">E290*F290</f>
        <v>#REF!</v>
      </c>
      <c r="J290" s="739" t="e">
        <f t="shared" ref="J290:J291" si="220">E290*G290</f>
        <v>#REF!</v>
      </c>
      <c r="K290" s="740" t="e">
        <f t="shared" ref="K290:K291" si="221">E290*H290</f>
        <v>#REF!</v>
      </c>
      <c r="L290" s="735" t="e">
        <f t="shared" ref="L290:L291" si="222">IF(OR(SUM(I290:K290)&lt;&gt;0,B290="*"),$L$5,0)</f>
        <v>#REF!</v>
      </c>
      <c r="N290" s="741" t="e">
        <f t="shared" ref="N290" si="223">SUM(F290:H290)*1.278</f>
        <v>#REF!</v>
      </c>
      <c r="O290" s="741" t="e">
        <f t="shared" ref="O290:O291" si="224">N290*E290</f>
        <v>#REF!</v>
      </c>
    </row>
    <row r="291" spans="1:15" s="298" customFormat="1" ht="17.100000000000001" hidden="1" customHeight="1">
      <c r="A291" s="736" t="e">
        <f t="shared" si="173"/>
        <v>#REF!</v>
      </c>
      <c r="B291" s="296" t="s">
        <v>1418</v>
      </c>
      <c r="C291" s="296" t="s">
        <v>1783</v>
      </c>
      <c r="D291" s="297" t="s">
        <v>2</v>
      </c>
      <c r="E291" s="788"/>
      <c r="F291" s="738" t="e">
        <f>#REF!</f>
        <v>#REF!</v>
      </c>
      <c r="G291" s="738" t="e">
        <f>#REF!</f>
        <v>#REF!</v>
      </c>
      <c r="H291" s="738" t="e">
        <f>#REF!</f>
        <v>#REF!</v>
      </c>
      <c r="I291" s="739" t="e">
        <f t="shared" si="219"/>
        <v>#REF!</v>
      </c>
      <c r="J291" s="739" t="e">
        <f t="shared" si="220"/>
        <v>#REF!</v>
      </c>
      <c r="K291" s="740" t="e">
        <f t="shared" si="221"/>
        <v>#REF!</v>
      </c>
      <c r="L291" s="735" t="e">
        <f t="shared" si="222"/>
        <v>#REF!</v>
      </c>
      <c r="N291" s="741" t="e">
        <f t="shared" ref="N291:N292" si="225">SUM(F291:H291)*1.278</f>
        <v>#REF!</v>
      </c>
      <c r="O291" s="741" t="e">
        <f t="shared" si="224"/>
        <v>#REF!</v>
      </c>
    </row>
    <row r="292" spans="1:15" s="298" customFormat="1" ht="17.100000000000001" hidden="1" customHeight="1">
      <c r="A292" s="736" t="e">
        <f t="shared" si="173"/>
        <v>#REF!</v>
      </c>
      <c r="B292" s="296" t="s">
        <v>629</v>
      </c>
      <c r="C292" s="296" t="s">
        <v>630</v>
      </c>
      <c r="D292" s="297" t="s">
        <v>9</v>
      </c>
      <c r="E292" s="788"/>
      <c r="F292" s="738" t="e">
        <f>#REF!</f>
        <v>#REF!</v>
      </c>
      <c r="G292" s="738" t="e">
        <f>#REF!</f>
        <v>#REF!</v>
      </c>
      <c r="H292" s="738"/>
      <c r="I292" s="739" t="e">
        <f>E292*F292</f>
        <v>#REF!</v>
      </c>
      <c r="J292" s="739" t="e">
        <f>E292*G292</f>
        <v>#REF!</v>
      </c>
      <c r="K292" s="740">
        <f>E292*H292</f>
        <v>0</v>
      </c>
      <c r="L292" s="735" t="e">
        <f>IF(OR(SUM(I292:K292)&lt;&gt;0,B292="*"),$L$5,0)</f>
        <v>#REF!</v>
      </c>
      <c r="N292" s="741" t="e">
        <f t="shared" si="225"/>
        <v>#REF!</v>
      </c>
      <c r="O292" s="741" t="e">
        <f>N292*E292</f>
        <v>#REF!</v>
      </c>
    </row>
    <row r="293" spans="1:15" s="298" customFormat="1" ht="17.100000000000001" hidden="1" customHeight="1">
      <c r="A293" s="736" t="e">
        <f t="shared" si="173"/>
        <v>#REF!</v>
      </c>
      <c r="B293" s="296" t="s">
        <v>1502</v>
      </c>
      <c r="C293" s="296" t="s">
        <v>1503</v>
      </c>
      <c r="D293" s="297" t="s">
        <v>2</v>
      </c>
      <c r="E293" s="788"/>
      <c r="F293" s="738"/>
      <c r="G293" s="738" t="e">
        <f>#REF!</f>
        <v>#REF!</v>
      </c>
      <c r="H293" s="738" t="e">
        <f>#REF!</f>
        <v>#REF!</v>
      </c>
      <c r="I293" s="739">
        <f t="shared" si="145"/>
        <v>0</v>
      </c>
      <c r="J293" s="739" t="e">
        <f t="shared" si="146"/>
        <v>#REF!</v>
      </c>
      <c r="K293" s="740" t="e">
        <f t="shared" si="147"/>
        <v>#REF!</v>
      </c>
      <c r="L293" s="735" t="e">
        <f t="shared" si="110"/>
        <v>#REF!</v>
      </c>
      <c r="N293" s="741" t="e">
        <f t="shared" si="164"/>
        <v>#REF!</v>
      </c>
      <c r="O293" s="741" t="e">
        <f t="shared" si="165"/>
        <v>#REF!</v>
      </c>
    </row>
    <row r="294" spans="1:15" s="298" customFormat="1" ht="17.100000000000001" hidden="1" customHeight="1">
      <c r="A294" s="736" t="e">
        <f t="shared" si="173"/>
        <v>#REF!</v>
      </c>
      <c r="B294" s="296" t="s">
        <v>1046</v>
      </c>
      <c r="C294" s="296" t="s">
        <v>1047</v>
      </c>
      <c r="D294" s="297" t="s">
        <v>9</v>
      </c>
      <c r="E294" s="788"/>
      <c r="F294" s="738" t="e">
        <f>#REF!</f>
        <v>#REF!</v>
      </c>
      <c r="G294" s="738" t="e">
        <f>#REF!</f>
        <v>#REF!</v>
      </c>
      <c r="H294" s="738" t="e">
        <f>#REF!</f>
        <v>#REF!</v>
      </c>
      <c r="I294" s="739" t="e">
        <f>E294*F294</f>
        <v>#REF!</v>
      </c>
      <c r="J294" s="739" t="e">
        <f>E294*G294</f>
        <v>#REF!</v>
      </c>
      <c r="K294" s="740" t="e">
        <f>E294*H294</f>
        <v>#REF!</v>
      </c>
      <c r="L294" s="735" t="e">
        <f>IF(OR(SUM(I294:K294)&lt;&gt;0,B294="*"),$L$5,0)</f>
        <v>#REF!</v>
      </c>
      <c r="N294" s="741" t="e">
        <f>SUM(F294:H294)*1.278</f>
        <v>#REF!</v>
      </c>
      <c r="O294" s="741" t="e">
        <f>N294*E294</f>
        <v>#REF!</v>
      </c>
    </row>
    <row r="295" spans="1:15" s="298" customFormat="1" ht="17.100000000000001" hidden="1" customHeight="1">
      <c r="A295" s="736" t="e">
        <f t="shared" si="173"/>
        <v>#REF!</v>
      </c>
      <c r="B295" s="296" t="s">
        <v>621</v>
      </c>
      <c r="C295" s="296" t="s">
        <v>622</v>
      </c>
      <c r="D295" s="297" t="s">
        <v>9</v>
      </c>
      <c r="E295" s="788"/>
      <c r="F295" s="738" t="e">
        <f>#REF!</f>
        <v>#REF!</v>
      </c>
      <c r="G295" s="738" t="e">
        <f>#REF!</f>
        <v>#REF!</v>
      </c>
      <c r="H295" s="738" t="e">
        <f>#REF!</f>
        <v>#REF!</v>
      </c>
      <c r="I295" s="739" t="e">
        <f t="shared" ref="I295" si="226">E295*F295</f>
        <v>#REF!</v>
      </c>
      <c r="J295" s="739" t="e">
        <f t="shared" ref="J295" si="227">E295*G295</f>
        <v>#REF!</v>
      </c>
      <c r="K295" s="740" t="e">
        <f t="shared" ref="K295" si="228">E295*H295</f>
        <v>#REF!</v>
      </c>
      <c r="L295" s="735" t="e">
        <f t="shared" ref="L295" si="229">IF(OR(SUM(I295:K295)&lt;&gt;0,B295="*"),$L$5,0)</f>
        <v>#REF!</v>
      </c>
      <c r="N295" s="741" t="e">
        <f t="shared" ref="N295" si="230">SUM(F295:H295)*1.278</f>
        <v>#REF!</v>
      </c>
      <c r="O295" s="741" t="e">
        <f t="shared" ref="O295" si="231">N295*E295</f>
        <v>#REF!</v>
      </c>
    </row>
    <row r="296" spans="1:15" s="298" customFormat="1" ht="17.100000000000001" hidden="1" customHeight="1">
      <c r="A296" s="736" t="e">
        <f t="shared" si="173"/>
        <v>#REF!</v>
      </c>
      <c r="B296" s="296" t="s">
        <v>626</v>
      </c>
      <c r="C296" s="296" t="s">
        <v>1784</v>
      </c>
      <c r="D296" s="297" t="s">
        <v>9</v>
      </c>
      <c r="E296" s="788"/>
      <c r="F296" s="738" t="e">
        <f>#REF!</f>
        <v>#REF!</v>
      </c>
      <c r="G296" s="738" t="e">
        <f>#REF!</f>
        <v>#REF!</v>
      </c>
      <c r="H296" s="738" t="e">
        <f>#REF!</f>
        <v>#REF!</v>
      </c>
      <c r="I296" s="739" t="e">
        <f>E296*F296</f>
        <v>#REF!</v>
      </c>
      <c r="J296" s="739" t="e">
        <f>E296*G296</f>
        <v>#REF!</v>
      </c>
      <c r="K296" s="740" t="e">
        <f>E296*H296</f>
        <v>#REF!</v>
      </c>
      <c r="L296" s="735" t="e">
        <f>IF(OR(SUM(I296:K296)&lt;&gt;0,B296="*"),$L$5,0)</f>
        <v>#REF!</v>
      </c>
      <c r="N296" s="741" t="e">
        <f>SUM(F296:H296)*1.278</f>
        <v>#REF!</v>
      </c>
      <c r="O296" s="741" t="e">
        <f>N296*E296</f>
        <v>#REF!</v>
      </c>
    </row>
    <row r="297" spans="1:15" s="298" customFormat="1" ht="17.100000000000001" hidden="1" customHeight="1">
      <c r="A297" s="736" t="e">
        <f t="shared" si="173"/>
        <v>#REF!</v>
      </c>
      <c r="B297" s="296" t="s">
        <v>618</v>
      </c>
      <c r="C297" s="296" t="s">
        <v>619</v>
      </c>
      <c r="D297" s="297" t="s">
        <v>2</v>
      </c>
      <c r="E297" s="788"/>
      <c r="F297" s="738"/>
      <c r="G297" s="738" t="e">
        <f>#REF!</f>
        <v>#REF!</v>
      </c>
      <c r="H297" s="738" t="e">
        <f>#REF!</f>
        <v>#REF!</v>
      </c>
      <c r="I297" s="739">
        <f t="shared" ref="I297:I321" si="232">E297*F297</f>
        <v>0</v>
      </c>
      <c r="J297" s="739" t="e">
        <f t="shared" ref="J297:J321" si="233">E297*G297</f>
        <v>#REF!</v>
      </c>
      <c r="K297" s="740" t="e">
        <f t="shared" ref="K297" si="234">E297*H297</f>
        <v>#REF!</v>
      </c>
      <c r="L297" s="735" t="e">
        <f t="shared" ref="L297:L398" si="235">IF(OR(SUM(I297:K297)&lt;&gt;0,B297="*"),$L$5,0)</f>
        <v>#REF!</v>
      </c>
      <c r="N297" s="741" t="e">
        <f t="shared" si="164"/>
        <v>#REF!</v>
      </c>
      <c r="O297" s="741" t="e">
        <f t="shared" si="165"/>
        <v>#REF!</v>
      </c>
    </row>
    <row r="298" spans="1:15" s="298" customFormat="1" ht="17.100000000000001" hidden="1" customHeight="1">
      <c r="A298" s="736" t="e">
        <f t="shared" si="173"/>
        <v>#REF!</v>
      </c>
      <c r="B298" s="296" t="s">
        <v>1766</v>
      </c>
      <c r="C298" s="296" t="s">
        <v>1765</v>
      </c>
      <c r="D298" s="297" t="s">
        <v>2</v>
      </c>
      <c r="E298" s="788"/>
      <c r="F298" s="738"/>
      <c r="G298" s="738"/>
      <c r="H298" s="738" t="e">
        <f>#REF!</f>
        <v>#REF!</v>
      </c>
      <c r="I298" s="739">
        <f t="shared" ref="I298" si="236">E298*F298</f>
        <v>0</v>
      </c>
      <c r="J298" s="739">
        <f t="shared" ref="J298" si="237">E298*G298</f>
        <v>0</v>
      </c>
      <c r="K298" s="740" t="e">
        <f t="shared" ref="K298:K355" si="238">E298*H298</f>
        <v>#REF!</v>
      </c>
      <c r="L298" s="735" t="e">
        <f t="shared" ref="L298" si="239">IF(OR(SUM(I298:K298)&lt;&gt;0,B298="*"),$L$5,0)</f>
        <v>#REF!</v>
      </c>
      <c r="N298" s="741" t="e">
        <f>SUM(F298:H298)*1.278</f>
        <v>#REF!</v>
      </c>
      <c r="O298" s="741" t="e">
        <f t="shared" ref="O298" si="240">N298*E298</f>
        <v>#REF!</v>
      </c>
    </row>
    <row r="299" spans="1:15" s="298" customFormat="1" ht="17.100000000000001" hidden="1" customHeight="1">
      <c r="A299" s="736" t="e">
        <f t="shared" si="173"/>
        <v>#REF!</v>
      </c>
      <c r="B299" s="296" t="s">
        <v>1492</v>
      </c>
      <c r="C299" s="296" t="s">
        <v>1504</v>
      </c>
      <c r="D299" s="297" t="s">
        <v>2</v>
      </c>
      <c r="E299" s="788"/>
      <c r="F299" s="738"/>
      <c r="G299" s="738"/>
      <c r="H299" s="738" t="e">
        <f>#REF!</f>
        <v>#REF!</v>
      </c>
      <c r="I299" s="739">
        <f t="shared" si="232"/>
        <v>0</v>
      </c>
      <c r="J299" s="739">
        <f t="shared" si="233"/>
        <v>0</v>
      </c>
      <c r="K299" s="740" t="e">
        <f t="shared" si="238"/>
        <v>#REF!</v>
      </c>
      <c r="L299" s="735" t="e">
        <f t="shared" si="235"/>
        <v>#REF!</v>
      </c>
      <c r="N299" s="741" t="e">
        <f>SUM(F299:H299)*1.278</f>
        <v>#REF!</v>
      </c>
      <c r="O299" s="741" t="e">
        <f t="shared" si="165"/>
        <v>#REF!</v>
      </c>
    </row>
    <row r="300" spans="1:15" s="298" customFormat="1" ht="17.100000000000001" hidden="1" customHeight="1">
      <c r="A300" s="736" t="e">
        <f t="shared" si="173"/>
        <v>#REF!</v>
      </c>
      <c r="B300" s="296" t="s">
        <v>612</v>
      </c>
      <c r="C300" s="296" t="s">
        <v>620</v>
      </c>
      <c r="D300" s="297" t="s">
        <v>9</v>
      </c>
      <c r="E300" s="788"/>
      <c r="F300" s="738"/>
      <c r="G300" s="738"/>
      <c r="H300" s="738" t="e">
        <f>#REF!</f>
        <v>#REF!</v>
      </c>
      <c r="I300" s="739">
        <f t="shared" si="232"/>
        <v>0</v>
      </c>
      <c r="J300" s="739">
        <f t="shared" si="233"/>
        <v>0</v>
      </c>
      <c r="K300" s="740" t="e">
        <f t="shared" si="238"/>
        <v>#REF!</v>
      </c>
      <c r="L300" s="735" t="e">
        <f t="shared" si="235"/>
        <v>#REF!</v>
      </c>
      <c r="N300" s="741" t="e">
        <f t="shared" si="164"/>
        <v>#REF!</v>
      </c>
      <c r="O300" s="741" t="e">
        <f t="shared" si="165"/>
        <v>#REF!</v>
      </c>
    </row>
    <row r="301" spans="1:15" s="298" customFormat="1" ht="17.100000000000001" hidden="1" customHeight="1">
      <c r="A301" s="736" t="e">
        <f t="shared" si="173"/>
        <v>#REF!</v>
      </c>
      <c r="B301" s="296" t="s">
        <v>22</v>
      </c>
      <c r="C301" s="296" t="s">
        <v>1744</v>
      </c>
      <c r="D301" s="297" t="s">
        <v>2</v>
      </c>
      <c r="E301" s="788"/>
      <c r="F301" s="738" t="e">
        <f>#REF!</f>
        <v>#REF!</v>
      </c>
      <c r="G301" s="738" t="e">
        <f>#REF!</f>
        <v>#REF!</v>
      </c>
      <c r="H301" s="738" t="e">
        <f>#REF!</f>
        <v>#REF!</v>
      </c>
      <c r="I301" s="739" t="e">
        <f t="shared" si="232"/>
        <v>#REF!</v>
      </c>
      <c r="J301" s="739" t="e">
        <f t="shared" si="233"/>
        <v>#REF!</v>
      </c>
      <c r="K301" s="740" t="e">
        <f t="shared" si="238"/>
        <v>#REF!</v>
      </c>
      <c r="L301" s="735" t="e">
        <f t="shared" si="235"/>
        <v>#REF!</v>
      </c>
      <c r="N301" s="741" t="e">
        <f t="shared" si="164"/>
        <v>#REF!</v>
      </c>
      <c r="O301" s="741" t="e">
        <f t="shared" si="165"/>
        <v>#REF!</v>
      </c>
    </row>
    <row r="302" spans="1:15" s="298" customFormat="1" ht="17.100000000000001" hidden="1" customHeight="1">
      <c r="A302" s="736" t="e">
        <f t="shared" si="173"/>
        <v>#REF!</v>
      </c>
      <c r="B302" s="296" t="s">
        <v>1418</v>
      </c>
      <c r="C302" s="296" t="s">
        <v>1505</v>
      </c>
      <c r="D302" s="297" t="s">
        <v>2</v>
      </c>
      <c r="E302" s="788"/>
      <c r="F302" s="738" t="e">
        <f>#REF!</f>
        <v>#REF!</v>
      </c>
      <c r="G302" s="738" t="e">
        <f>#REF!</f>
        <v>#REF!</v>
      </c>
      <c r="H302" s="738" t="e">
        <f>#REF!</f>
        <v>#REF!</v>
      </c>
      <c r="I302" s="739" t="e">
        <f t="shared" si="232"/>
        <v>#REF!</v>
      </c>
      <c r="J302" s="739" t="e">
        <f t="shared" si="233"/>
        <v>#REF!</v>
      </c>
      <c r="K302" s="740" t="e">
        <f t="shared" si="238"/>
        <v>#REF!</v>
      </c>
      <c r="L302" s="735" t="e">
        <f t="shared" si="235"/>
        <v>#REF!</v>
      </c>
      <c r="N302" s="741" t="e">
        <f t="shared" si="164"/>
        <v>#REF!</v>
      </c>
      <c r="O302" s="741" t="e">
        <f t="shared" si="165"/>
        <v>#REF!</v>
      </c>
    </row>
    <row r="303" spans="1:15" s="298" customFormat="1" ht="17.100000000000001" hidden="1" customHeight="1">
      <c r="A303" s="736" t="e">
        <f t="shared" si="173"/>
        <v>#REF!</v>
      </c>
      <c r="B303" s="296" t="s">
        <v>621</v>
      </c>
      <c r="C303" s="296" t="s">
        <v>622</v>
      </c>
      <c r="D303" s="297" t="s">
        <v>9</v>
      </c>
      <c r="E303" s="788"/>
      <c r="F303" s="738" t="e">
        <f>#REF!</f>
        <v>#REF!</v>
      </c>
      <c r="G303" s="738" t="e">
        <f>#REF!</f>
        <v>#REF!</v>
      </c>
      <c r="H303" s="738" t="e">
        <f>#REF!</f>
        <v>#REF!</v>
      </c>
      <c r="I303" s="739" t="e">
        <f t="shared" si="232"/>
        <v>#REF!</v>
      </c>
      <c r="J303" s="739" t="e">
        <f t="shared" si="233"/>
        <v>#REF!</v>
      </c>
      <c r="K303" s="740" t="e">
        <f t="shared" si="238"/>
        <v>#REF!</v>
      </c>
      <c r="L303" s="735" t="e">
        <f t="shared" si="235"/>
        <v>#REF!</v>
      </c>
      <c r="N303" s="741" t="e">
        <f t="shared" si="164"/>
        <v>#REF!</v>
      </c>
      <c r="O303" s="741" t="e">
        <f t="shared" si="165"/>
        <v>#REF!</v>
      </c>
    </row>
    <row r="304" spans="1:15" s="298" customFormat="1" ht="17.100000000000001" hidden="1" customHeight="1">
      <c r="A304" s="736" t="e">
        <f t="shared" si="173"/>
        <v>#REF!</v>
      </c>
      <c r="B304" s="296" t="s">
        <v>1023</v>
      </c>
      <c r="C304" s="296" t="s">
        <v>1506</v>
      </c>
      <c r="D304" s="297" t="s">
        <v>310</v>
      </c>
      <c r="E304" s="788"/>
      <c r="F304" s="738" t="e">
        <f>#REF!</f>
        <v>#REF!</v>
      </c>
      <c r="G304" s="738" t="e">
        <f>#REF!</f>
        <v>#REF!</v>
      </c>
      <c r="H304" s="738" t="e">
        <f>#REF!</f>
        <v>#REF!</v>
      </c>
      <c r="I304" s="739" t="e">
        <f t="shared" si="232"/>
        <v>#REF!</v>
      </c>
      <c r="J304" s="739" t="e">
        <f t="shared" si="233"/>
        <v>#REF!</v>
      </c>
      <c r="K304" s="740" t="e">
        <f t="shared" si="238"/>
        <v>#REF!</v>
      </c>
      <c r="L304" s="735" t="e">
        <f t="shared" si="235"/>
        <v>#REF!</v>
      </c>
      <c r="N304" s="741" t="e">
        <f t="shared" si="164"/>
        <v>#REF!</v>
      </c>
      <c r="O304" s="741" t="e">
        <f t="shared" si="165"/>
        <v>#REF!</v>
      </c>
    </row>
    <row r="305" spans="1:15" s="298" customFormat="1" ht="17.100000000000001" hidden="1" customHeight="1">
      <c r="A305" s="736" t="e">
        <f t="shared" si="173"/>
        <v>#REF!</v>
      </c>
      <c r="B305" s="296" t="s">
        <v>1030</v>
      </c>
      <c r="C305" s="296" t="s">
        <v>1507</v>
      </c>
      <c r="D305" s="297" t="s">
        <v>310</v>
      </c>
      <c r="E305" s="788"/>
      <c r="F305" s="738" t="e">
        <f>#REF!</f>
        <v>#REF!</v>
      </c>
      <c r="G305" s="738" t="e">
        <f>#REF!</f>
        <v>#REF!</v>
      </c>
      <c r="H305" s="738" t="e">
        <f>#REF!</f>
        <v>#REF!</v>
      </c>
      <c r="I305" s="739" t="e">
        <f>E305*F305</f>
        <v>#REF!</v>
      </c>
      <c r="J305" s="739" t="e">
        <f>E305*G305</f>
        <v>#REF!</v>
      </c>
      <c r="K305" s="740" t="e">
        <f t="shared" si="238"/>
        <v>#REF!</v>
      </c>
      <c r="L305" s="735" t="e">
        <f>IF(OR(SUM(I305:K305)&lt;&gt;0,B305="*"),$L$5,0)</f>
        <v>#REF!</v>
      </c>
      <c r="N305" s="741" t="e">
        <f>SUM(F305:H305)*1.278</f>
        <v>#REF!</v>
      </c>
      <c r="O305" s="741" t="e">
        <f>N305*E305</f>
        <v>#REF!</v>
      </c>
    </row>
    <row r="306" spans="1:15" s="298" customFormat="1" ht="17.100000000000001" hidden="1" customHeight="1">
      <c r="A306" s="736" t="e">
        <f t="shared" si="173"/>
        <v>#REF!</v>
      </c>
      <c r="B306" s="296" t="s">
        <v>1508</v>
      </c>
      <c r="C306" s="296" t="s">
        <v>1509</v>
      </c>
      <c r="D306" s="297" t="s">
        <v>310</v>
      </c>
      <c r="E306" s="788"/>
      <c r="F306" s="738" t="e">
        <f>#REF!</f>
        <v>#REF!</v>
      </c>
      <c r="G306" s="738" t="e">
        <f>#REF!</f>
        <v>#REF!</v>
      </c>
      <c r="H306" s="738" t="e">
        <f>#REF!</f>
        <v>#REF!</v>
      </c>
      <c r="I306" s="739" t="e">
        <f t="shared" si="232"/>
        <v>#REF!</v>
      </c>
      <c r="J306" s="739" t="e">
        <f t="shared" si="233"/>
        <v>#REF!</v>
      </c>
      <c r="K306" s="740" t="e">
        <f t="shared" si="238"/>
        <v>#REF!</v>
      </c>
      <c r="L306" s="735" t="e">
        <f t="shared" si="235"/>
        <v>#REF!</v>
      </c>
      <c r="N306" s="741" t="e">
        <f t="shared" si="164"/>
        <v>#REF!</v>
      </c>
      <c r="O306" s="741" t="e">
        <f t="shared" si="165"/>
        <v>#REF!</v>
      </c>
    </row>
    <row r="307" spans="1:15" s="298" customFormat="1" ht="17.100000000000001" hidden="1" customHeight="1">
      <c r="A307" s="736" t="e">
        <f t="shared" si="173"/>
        <v>#REF!</v>
      </c>
      <c r="B307" s="296" t="s">
        <v>623</v>
      </c>
      <c r="C307" s="296" t="s">
        <v>624</v>
      </c>
      <c r="D307" s="297" t="s">
        <v>9</v>
      </c>
      <c r="E307" s="788"/>
      <c r="F307" s="738"/>
      <c r="G307" s="738" t="e">
        <f>#REF!</f>
        <v>#REF!</v>
      </c>
      <c r="H307" s="738" t="e">
        <f>#REF!</f>
        <v>#REF!</v>
      </c>
      <c r="I307" s="739">
        <f t="shared" si="232"/>
        <v>0</v>
      </c>
      <c r="J307" s="739" t="e">
        <f t="shared" si="233"/>
        <v>#REF!</v>
      </c>
      <c r="K307" s="740" t="e">
        <f t="shared" si="238"/>
        <v>#REF!</v>
      </c>
      <c r="L307" s="735" t="e">
        <f t="shared" si="235"/>
        <v>#REF!</v>
      </c>
      <c r="N307" s="741" t="e">
        <f t="shared" si="164"/>
        <v>#REF!</v>
      </c>
      <c r="O307" s="741" t="e">
        <f t="shared" si="165"/>
        <v>#REF!</v>
      </c>
    </row>
    <row r="308" spans="1:15" s="298" customFormat="1" ht="17.100000000000001" hidden="1" customHeight="1">
      <c r="A308" s="736" t="e">
        <f t="shared" si="173"/>
        <v>#REF!</v>
      </c>
      <c r="B308" s="296" t="s">
        <v>1789</v>
      </c>
      <c r="C308" s="296" t="s">
        <v>1790</v>
      </c>
      <c r="D308" s="297" t="s">
        <v>9</v>
      </c>
      <c r="E308" s="788"/>
      <c r="F308" s="738"/>
      <c r="G308" s="738" t="e">
        <f>#REF!</f>
        <v>#REF!</v>
      </c>
      <c r="H308" s="738" t="e">
        <f>#REF!</f>
        <v>#REF!</v>
      </c>
      <c r="I308" s="739">
        <f t="shared" ref="I308" si="241">E308*F308</f>
        <v>0</v>
      </c>
      <c r="J308" s="739" t="e">
        <f t="shared" ref="J308" si="242">E308*G308</f>
        <v>#REF!</v>
      </c>
      <c r="K308" s="740" t="e">
        <f t="shared" ref="K308" si="243">E308*H308</f>
        <v>#REF!</v>
      </c>
      <c r="L308" s="735" t="e">
        <f t="shared" ref="L308" si="244">IF(OR(SUM(I308:K308)&lt;&gt;0,B308="*"),$L$5,0)</f>
        <v>#REF!</v>
      </c>
      <c r="M308" s="1047"/>
      <c r="N308" s="741" t="e">
        <f t="shared" ref="N308" si="245">SUM(F308:H308)*1.278</f>
        <v>#REF!</v>
      </c>
      <c r="O308" s="741" t="e">
        <f t="shared" ref="O308" si="246">N308*E308</f>
        <v>#REF!</v>
      </c>
    </row>
    <row r="309" spans="1:15" s="298" customFormat="1" ht="17.100000000000001" hidden="1" customHeight="1">
      <c r="A309" s="736" t="e">
        <f t="shared" si="173"/>
        <v>#REF!</v>
      </c>
      <c r="B309" s="296" t="s">
        <v>627</v>
      </c>
      <c r="C309" s="296" t="s">
        <v>628</v>
      </c>
      <c r="D309" s="297" t="s">
        <v>9</v>
      </c>
      <c r="E309" s="788"/>
      <c r="F309" s="738"/>
      <c r="G309" s="738" t="e">
        <f>#REF!</f>
        <v>#REF!</v>
      </c>
      <c r="H309" s="738" t="e">
        <f>#REF!</f>
        <v>#REF!</v>
      </c>
      <c r="I309" s="739">
        <f t="shared" si="232"/>
        <v>0</v>
      </c>
      <c r="J309" s="739" t="e">
        <f t="shared" si="233"/>
        <v>#REF!</v>
      </c>
      <c r="K309" s="740" t="e">
        <f t="shared" si="238"/>
        <v>#REF!</v>
      </c>
      <c r="L309" s="735" t="e">
        <f t="shared" si="235"/>
        <v>#REF!</v>
      </c>
      <c r="N309" s="741" t="e">
        <f t="shared" si="164"/>
        <v>#REF!</v>
      </c>
      <c r="O309" s="741" t="e">
        <f t="shared" si="165"/>
        <v>#REF!</v>
      </c>
    </row>
    <row r="310" spans="1:15" s="298" customFormat="1" ht="17.100000000000001" hidden="1" customHeight="1">
      <c r="A310" s="736" t="e">
        <f t="shared" si="173"/>
        <v>#REF!</v>
      </c>
      <c r="B310" s="296" t="s">
        <v>1510</v>
      </c>
      <c r="C310" s="296" t="s">
        <v>914</v>
      </c>
      <c r="D310" s="297" t="s">
        <v>625</v>
      </c>
      <c r="E310" s="788"/>
      <c r="F310" s="738" t="e">
        <f>#REF!</f>
        <v>#REF!</v>
      </c>
      <c r="G310" s="738" t="e">
        <f>#REF!</f>
        <v>#REF!</v>
      </c>
      <c r="H310" s="738" t="e">
        <f>#REF!</f>
        <v>#REF!</v>
      </c>
      <c r="I310" s="739" t="e">
        <f t="shared" si="232"/>
        <v>#REF!</v>
      </c>
      <c r="J310" s="739" t="e">
        <f t="shared" si="233"/>
        <v>#REF!</v>
      </c>
      <c r="K310" s="740" t="e">
        <f t="shared" si="238"/>
        <v>#REF!</v>
      </c>
      <c r="L310" s="735" t="e">
        <f t="shared" si="235"/>
        <v>#REF!</v>
      </c>
      <c r="N310" s="741" t="e">
        <f t="shared" si="164"/>
        <v>#REF!</v>
      </c>
      <c r="O310" s="741" t="e">
        <f t="shared" si="165"/>
        <v>#REF!</v>
      </c>
    </row>
    <row r="311" spans="1:15" s="298" customFormat="1" ht="17.100000000000001" hidden="1" customHeight="1">
      <c r="A311" s="736" t="e">
        <f t="shared" si="173"/>
        <v>#REF!</v>
      </c>
      <c r="B311" s="296" t="s">
        <v>1511</v>
      </c>
      <c r="C311" s="296" t="s">
        <v>925</v>
      </c>
      <c r="D311" s="297" t="s">
        <v>625</v>
      </c>
      <c r="E311" s="788"/>
      <c r="F311" s="738" t="e">
        <f>#REF!</f>
        <v>#REF!</v>
      </c>
      <c r="G311" s="738" t="e">
        <f>#REF!</f>
        <v>#REF!</v>
      </c>
      <c r="H311" s="738" t="e">
        <f>#REF!</f>
        <v>#REF!</v>
      </c>
      <c r="I311" s="739" t="e">
        <f t="shared" si="232"/>
        <v>#REF!</v>
      </c>
      <c r="J311" s="739" t="e">
        <f t="shared" si="233"/>
        <v>#REF!</v>
      </c>
      <c r="K311" s="740" t="e">
        <f t="shared" si="238"/>
        <v>#REF!</v>
      </c>
      <c r="L311" s="735" t="e">
        <f t="shared" si="235"/>
        <v>#REF!</v>
      </c>
      <c r="N311" s="741" t="e">
        <f t="shared" si="164"/>
        <v>#REF!</v>
      </c>
      <c r="O311" s="741" t="e">
        <f t="shared" si="165"/>
        <v>#REF!</v>
      </c>
    </row>
    <row r="312" spans="1:15" s="298" customFormat="1" ht="33" hidden="1" customHeight="1">
      <c r="A312" s="736" t="e">
        <f t="shared" si="173"/>
        <v>#REF!</v>
      </c>
      <c r="B312" s="296" t="s">
        <v>1512</v>
      </c>
      <c r="C312" s="743" t="s">
        <v>1895</v>
      </c>
      <c r="D312" s="297" t="s">
        <v>625</v>
      </c>
      <c r="E312" s="788"/>
      <c r="F312" s="738" t="e">
        <f>#REF!</f>
        <v>#REF!</v>
      </c>
      <c r="G312" s="738" t="e">
        <f>#REF!</f>
        <v>#REF!</v>
      </c>
      <c r="H312" s="738" t="e">
        <f>#REF!</f>
        <v>#REF!</v>
      </c>
      <c r="I312" s="739" t="e">
        <f t="shared" si="232"/>
        <v>#REF!</v>
      </c>
      <c r="J312" s="739" t="e">
        <f t="shared" si="233"/>
        <v>#REF!</v>
      </c>
      <c r="K312" s="740" t="e">
        <f t="shared" si="238"/>
        <v>#REF!</v>
      </c>
      <c r="L312" s="735" t="e">
        <f t="shared" si="235"/>
        <v>#REF!</v>
      </c>
      <c r="N312" s="741" t="e">
        <f t="shared" si="164"/>
        <v>#REF!</v>
      </c>
      <c r="O312" s="741" t="e">
        <f t="shared" si="165"/>
        <v>#REF!</v>
      </c>
    </row>
    <row r="313" spans="1:15" s="298" customFormat="1" ht="17.100000000000001" hidden="1" customHeight="1">
      <c r="A313" s="736" t="e">
        <f t="shared" si="173"/>
        <v>#REF!</v>
      </c>
      <c r="B313" s="296" t="s">
        <v>1513</v>
      </c>
      <c r="C313" s="296" t="s">
        <v>931</v>
      </c>
      <c r="D313" s="297" t="s">
        <v>625</v>
      </c>
      <c r="E313" s="788"/>
      <c r="F313" s="738" t="e">
        <f>#REF!</f>
        <v>#REF!</v>
      </c>
      <c r="G313" s="738" t="e">
        <f>#REF!</f>
        <v>#REF!</v>
      </c>
      <c r="H313" s="738" t="e">
        <f>#REF!</f>
        <v>#REF!</v>
      </c>
      <c r="I313" s="739" t="e">
        <f t="shared" si="232"/>
        <v>#REF!</v>
      </c>
      <c r="J313" s="739" t="e">
        <f t="shared" si="233"/>
        <v>#REF!</v>
      </c>
      <c r="K313" s="740" t="e">
        <f t="shared" si="238"/>
        <v>#REF!</v>
      </c>
      <c r="L313" s="735" t="e">
        <f t="shared" si="235"/>
        <v>#REF!</v>
      </c>
      <c r="N313" s="741" t="e">
        <f t="shared" si="164"/>
        <v>#REF!</v>
      </c>
      <c r="O313" s="741" t="e">
        <f t="shared" si="165"/>
        <v>#REF!</v>
      </c>
    </row>
    <row r="314" spans="1:15" s="298" customFormat="1" ht="17.100000000000001" hidden="1" customHeight="1">
      <c r="A314" s="736" t="e">
        <f t="shared" si="173"/>
        <v>#REF!</v>
      </c>
      <c r="B314" s="296" t="s">
        <v>1514</v>
      </c>
      <c r="C314" s="296" t="s">
        <v>937</v>
      </c>
      <c r="D314" s="297" t="s">
        <v>625</v>
      </c>
      <c r="E314" s="788"/>
      <c r="F314" s="738" t="e">
        <f>#REF!</f>
        <v>#REF!</v>
      </c>
      <c r="G314" s="738" t="e">
        <f>#REF!</f>
        <v>#REF!</v>
      </c>
      <c r="H314" s="738" t="e">
        <f>#REF!</f>
        <v>#REF!</v>
      </c>
      <c r="I314" s="739" t="e">
        <f t="shared" si="232"/>
        <v>#REF!</v>
      </c>
      <c r="J314" s="739" t="e">
        <f t="shared" si="233"/>
        <v>#REF!</v>
      </c>
      <c r="K314" s="740" t="e">
        <f t="shared" si="238"/>
        <v>#REF!</v>
      </c>
      <c r="L314" s="735" t="e">
        <f t="shared" si="235"/>
        <v>#REF!</v>
      </c>
      <c r="N314" s="741" t="e">
        <f t="shared" si="164"/>
        <v>#REF!</v>
      </c>
      <c r="O314" s="741" t="e">
        <f t="shared" si="165"/>
        <v>#REF!</v>
      </c>
    </row>
    <row r="315" spans="1:15" s="298" customFormat="1" ht="17.100000000000001" hidden="1" customHeight="1">
      <c r="A315" s="736" t="e">
        <f t="shared" si="173"/>
        <v>#REF!</v>
      </c>
      <c r="B315" s="296" t="s">
        <v>1515</v>
      </c>
      <c r="C315" s="296" t="s">
        <v>1796</v>
      </c>
      <c r="D315" s="297" t="s">
        <v>625</v>
      </c>
      <c r="E315" s="788"/>
      <c r="F315" s="738" t="e">
        <f>#REF!</f>
        <v>#REF!</v>
      </c>
      <c r="G315" s="738" t="e">
        <f>#REF!</f>
        <v>#REF!</v>
      </c>
      <c r="H315" s="738" t="e">
        <f>#REF!</f>
        <v>#REF!</v>
      </c>
      <c r="I315" s="739" t="e">
        <f t="shared" si="232"/>
        <v>#REF!</v>
      </c>
      <c r="J315" s="739" t="e">
        <f t="shared" si="233"/>
        <v>#REF!</v>
      </c>
      <c r="K315" s="740" t="e">
        <f t="shared" si="238"/>
        <v>#REF!</v>
      </c>
      <c r="L315" s="735" t="e">
        <f t="shared" si="235"/>
        <v>#REF!</v>
      </c>
      <c r="N315" s="741" t="e">
        <f t="shared" si="164"/>
        <v>#REF!</v>
      </c>
      <c r="O315" s="741" t="e">
        <f t="shared" si="165"/>
        <v>#REF!</v>
      </c>
    </row>
    <row r="316" spans="1:15" s="298" customFormat="1" ht="17.100000000000001" hidden="1" customHeight="1">
      <c r="A316" s="736" t="e">
        <f t="shared" si="173"/>
        <v>#REF!</v>
      </c>
      <c r="B316" s="296" t="s">
        <v>1516</v>
      </c>
      <c r="C316" s="296" t="s">
        <v>1517</v>
      </c>
      <c r="D316" s="297" t="s">
        <v>625</v>
      </c>
      <c r="E316" s="788"/>
      <c r="F316" s="738" t="e">
        <f>#REF!</f>
        <v>#REF!</v>
      </c>
      <c r="G316" s="738" t="e">
        <f>#REF!</f>
        <v>#REF!</v>
      </c>
      <c r="H316" s="738" t="e">
        <f>#REF!</f>
        <v>#REF!</v>
      </c>
      <c r="I316" s="739" t="e">
        <f t="shared" si="232"/>
        <v>#REF!</v>
      </c>
      <c r="J316" s="739" t="e">
        <f t="shared" si="233"/>
        <v>#REF!</v>
      </c>
      <c r="K316" s="740" t="e">
        <f t="shared" si="238"/>
        <v>#REF!</v>
      </c>
      <c r="L316" s="735" t="e">
        <f t="shared" si="235"/>
        <v>#REF!</v>
      </c>
      <c r="N316" s="741" t="e">
        <f t="shared" si="164"/>
        <v>#REF!</v>
      </c>
      <c r="O316" s="741" t="e">
        <f t="shared" si="165"/>
        <v>#REF!</v>
      </c>
    </row>
    <row r="317" spans="1:15" s="298" customFormat="1" ht="17.100000000000001" hidden="1" customHeight="1">
      <c r="A317" s="736" t="e">
        <f t="shared" si="173"/>
        <v>#REF!</v>
      </c>
      <c r="B317" s="296" t="s">
        <v>1518</v>
      </c>
      <c r="C317" s="296" t="s">
        <v>938</v>
      </c>
      <c r="D317" s="297" t="s">
        <v>625</v>
      </c>
      <c r="E317" s="788"/>
      <c r="F317" s="738" t="e">
        <f>#REF!</f>
        <v>#REF!</v>
      </c>
      <c r="G317" s="738" t="e">
        <f>#REF!</f>
        <v>#REF!</v>
      </c>
      <c r="H317" s="738" t="e">
        <f>#REF!</f>
        <v>#REF!</v>
      </c>
      <c r="I317" s="739" t="e">
        <f t="shared" si="232"/>
        <v>#REF!</v>
      </c>
      <c r="J317" s="739" t="e">
        <f t="shared" si="233"/>
        <v>#REF!</v>
      </c>
      <c r="K317" s="740" t="e">
        <f t="shared" si="238"/>
        <v>#REF!</v>
      </c>
      <c r="L317" s="735" t="e">
        <f t="shared" si="235"/>
        <v>#REF!</v>
      </c>
      <c r="N317" s="741" t="e">
        <f t="shared" si="164"/>
        <v>#REF!</v>
      </c>
      <c r="O317" s="741" t="e">
        <f t="shared" si="165"/>
        <v>#REF!</v>
      </c>
    </row>
    <row r="318" spans="1:15" s="298" customFormat="1" ht="17.100000000000001" hidden="1" customHeight="1">
      <c r="A318" s="736" t="e">
        <f t="shared" si="173"/>
        <v>#REF!</v>
      </c>
      <c r="B318" s="296" t="s">
        <v>1280</v>
      </c>
      <c r="C318" s="296" t="s">
        <v>1862</v>
      </c>
      <c r="D318" s="297" t="s">
        <v>625</v>
      </c>
      <c r="E318" s="788"/>
      <c r="F318" s="738"/>
      <c r="G318" s="738"/>
      <c r="H318" s="738" t="e">
        <f>#REF!</f>
        <v>#REF!</v>
      </c>
      <c r="I318" s="739">
        <f t="shared" si="232"/>
        <v>0</v>
      </c>
      <c r="J318" s="739">
        <f t="shared" si="233"/>
        <v>0</v>
      </c>
      <c r="K318" s="740" t="e">
        <f t="shared" si="238"/>
        <v>#REF!</v>
      </c>
      <c r="L318" s="735" t="e">
        <f t="shared" si="235"/>
        <v>#REF!</v>
      </c>
      <c r="N318" s="741" t="e">
        <f t="shared" si="164"/>
        <v>#REF!</v>
      </c>
      <c r="O318" s="741" t="e">
        <f t="shared" si="165"/>
        <v>#REF!</v>
      </c>
    </row>
    <row r="319" spans="1:15" s="298" customFormat="1" ht="17.100000000000001" hidden="1" customHeight="1">
      <c r="A319" s="736" t="e">
        <f t="shared" si="173"/>
        <v>#REF!</v>
      </c>
      <c r="B319" s="296" t="s">
        <v>1519</v>
      </c>
      <c r="C319" s="296" t="s">
        <v>1863</v>
      </c>
      <c r="D319" s="297" t="s">
        <v>625</v>
      </c>
      <c r="E319" s="788"/>
      <c r="F319" s="738"/>
      <c r="G319" s="738"/>
      <c r="H319" s="738" t="e">
        <f>#REF!</f>
        <v>#REF!</v>
      </c>
      <c r="I319" s="739">
        <f t="shared" si="232"/>
        <v>0</v>
      </c>
      <c r="J319" s="739">
        <f t="shared" si="233"/>
        <v>0</v>
      </c>
      <c r="K319" s="740" t="e">
        <f>E319*H319</f>
        <v>#REF!</v>
      </c>
      <c r="L319" s="735" t="e">
        <f t="shared" si="235"/>
        <v>#REF!</v>
      </c>
      <c r="N319" s="741" t="e">
        <f t="shared" si="164"/>
        <v>#REF!</v>
      </c>
      <c r="O319" s="741" t="e">
        <f t="shared" si="165"/>
        <v>#REF!</v>
      </c>
    </row>
    <row r="320" spans="1:15" s="298" customFormat="1" ht="17.100000000000001" hidden="1" customHeight="1">
      <c r="A320" s="736" t="e">
        <f t="shared" si="173"/>
        <v>#REF!</v>
      </c>
      <c r="B320" s="296" t="s">
        <v>1282</v>
      </c>
      <c r="C320" s="296" t="s">
        <v>1864</v>
      </c>
      <c r="D320" s="297" t="s">
        <v>625</v>
      </c>
      <c r="E320" s="788"/>
      <c r="F320" s="738"/>
      <c r="G320" s="738"/>
      <c r="H320" s="738" t="e">
        <f>#REF!</f>
        <v>#REF!</v>
      </c>
      <c r="I320" s="739">
        <f t="shared" si="232"/>
        <v>0</v>
      </c>
      <c r="J320" s="739">
        <f t="shared" si="233"/>
        <v>0</v>
      </c>
      <c r="K320" s="740" t="e">
        <f t="shared" si="238"/>
        <v>#REF!</v>
      </c>
      <c r="L320" s="735" t="e">
        <f t="shared" si="235"/>
        <v>#REF!</v>
      </c>
      <c r="N320" s="741" t="e">
        <f t="shared" si="164"/>
        <v>#REF!</v>
      </c>
      <c r="O320" s="741" t="e">
        <f t="shared" si="165"/>
        <v>#REF!</v>
      </c>
    </row>
    <row r="321" spans="1:15" s="298" customFormat="1" ht="17.100000000000001" hidden="1" customHeight="1">
      <c r="A321" s="736" t="e">
        <f t="shared" si="173"/>
        <v>#REF!</v>
      </c>
      <c r="B321" s="296" t="s">
        <v>1281</v>
      </c>
      <c r="C321" s="296" t="s">
        <v>1861</v>
      </c>
      <c r="D321" s="297" t="s">
        <v>625</v>
      </c>
      <c r="E321" s="788"/>
      <c r="F321" s="738"/>
      <c r="G321" s="738"/>
      <c r="H321" s="738" t="e">
        <f>#REF!</f>
        <v>#REF!</v>
      </c>
      <c r="I321" s="739">
        <f t="shared" si="232"/>
        <v>0</v>
      </c>
      <c r="J321" s="739">
        <f t="shared" si="233"/>
        <v>0</v>
      </c>
      <c r="K321" s="740" t="e">
        <f t="shared" si="238"/>
        <v>#REF!</v>
      </c>
      <c r="L321" s="735" t="e">
        <f t="shared" si="235"/>
        <v>#REF!</v>
      </c>
      <c r="N321" s="741" t="e">
        <f t="shared" si="164"/>
        <v>#REF!</v>
      </c>
      <c r="O321" s="741" t="e">
        <f t="shared" si="165"/>
        <v>#REF!</v>
      </c>
    </row>
    <row r="322" spans="1:15" s="298" customFormat="1" ht="17.100000000000001" hidden="1" customHeight="1">
      <c r="A322" s="736" t="e">
        <f t="shared" si="173"/>
        <v>#REF!</v>
      </c>
      <c r="B322" s="296" t="s">
        <v>1049</v>
      </c>
      <c r="C322" s="296" t="s">
        <v>1520</v>
      </c>
      <c r="D322" s="297" t="s">
        <v>9</v>
      </c>
      <c r="E322" s="788"/>
      <c r="F322" s="738" t="e">
        <f>#REF!</f>
        <v>#REF!</v>
      </c>
      <c r="G322" s="738" t="e">
        <f>#REF!</f>
        <v>#REF!</v>
      </c>
      <c r="H322" s="738" t="e">
        <f>#REF!</f>
        <v>#REF!</v>
      </c>
      <c r="I322" s="739" t="e">
        <f t="shared" ref="I322:I349" si="247">E322*F322</f>
        <v>#REF!</v>
      </c>
      <c r="J322" s="739" t="e">
        <f t="shared" ref="J322:J349" si="248">E322*G322</f>
        <v>#REF!</v>
      </c>
      <c r="K322" s="740" t="e">
        <f t="shared" si="238"/>
        <v>#REF!</v>
      </c>
      <c r="L322" s="735" t="e">
        <f t="shared" si="235"/>
        <v>#REF!</v>
      </c>
      <c r="N322" s="741" t="e">
        <f t="shared" si="164"/>
        <v>#REF!</v>
      </c>
      <c r="O322" s="741" t="e">
        <f t="shared" si="165"/>
        <v>#REF!</v>
      </c>
    </row>
    <row r="323" spans="1:15" s="298" customFormat="1" ht="17.100000000000001" hidden="1" customHeight="1">
      <c r="A323" s="736" t="e">
        <f t="shared" si="173"/>
        <v>#REF!</v>
      </c>
      <c r="B323" s="783" t="s">
        <v>1661</v>
      </c>
      <c r="C323" s="783" t="s">
        <v>1662</v>
      </c>
      <c r="D323" s="784" t="s">
        <v>9</v>
      </c>
      <c r="E323" s="788"/>
      <c r="F323" s="785" t="e">
        <f>#REF!</f>
        <v>#REF!</v>
      </c>
      <c r="G323" s="785" t="e">
        <f>#REF!</f>
        <v>#REF!</v>
      </c>
      <c r="H323" s="785" t="e">
        <f>#REF!</f>
        <v>#REF!</v>
      </c>
      <c r="I323" s="739" t="e">
        <f t="shared" si="247"/>
        <v>#REF!</v>
      </c>
      <c r="J323" s="739" t="e">
        <f t="shared" si="248"/>
        <v>#REF!</v>
      </c>
      <c r="K323" s="740" t="e">
        <f t="shared" si="238"/>
        <v>#REF!</v>
      </c>
      <c r="L323" s="735" t="e">
        <f t="shared" si="235"/>
        <v>#REF!</v>
      </c>
      <c r="N323" s="741"/>
      <c r="O323" s="741"/>
    </row>
    <row r="324" spans="1:15" s="298" customFormat="1" ht="17.100000000000001" hidden="1" customHeight="1">
      <c r="A324" s="736" t="e">
        <f t="shared" si="173"/>
        <v>#REF!</v>
      </c>
      <c r="B324" s="296" t="s">
        <v>6</v>
      </c>
      <c r="C324" s="296" t="s">
        <v>1521</v>
      </c>
      <c r="D324" s="297" t="s">
        <v>2</v>
      </c>
      <c r="E324" s="788"/>
      <c r="F324" s="738"/>
      <c r="G324" s="738" t="e">
        <f>#REF!</f>
        <v>#REF!</v>
      </c>
      <c r="H324" s="738" t="e">
        <f>#REF!</f>
        <v>#REF!</v>
      </c>
      <c r="I324" s="739">
        <f t="shared" si="247"/>
        <v>0</v>
      </c>
      <c r="J324" s="739" t="e">
        <f t="shared" si="248"/>
        <v>#REF!</v>
      </c>
      <c r="K324" s="740" t="e">
        <f t="shared" si="238"/>
        <v>#REF!</v>
      </c>
      <c r="L324" s="735" t="e">
        <f t="shared" si="235"/>
        <v>#REF!</v>
      </c>
      <c r="N324" s="741" t="e">
        <f t="shared" si="164"/>
        <v>#REF!</v>
      </c>
      <c r="O324" s="741" t="e">
        <f t="shared" si="165"/>
        <v>#REF!</v>
      </c>
    </row>
    <row r="325" spans="1:15" s="298" customFormat="1" ht="17.100000000000001" hidden="1" customHeight="1">
      <c r="A325" s="736" t="e">
        <f t="shared" si="173"/>
        <v>#REF!</v>
      </c>
      <c r="B325" s="296" t="s">
        <v>1457</v>
      </c>
      <c r="C325" s="296" t="s">
        <v>1809</v>
      </c>
      <c r="D325" s="297" t="s">
        <v>2</v>
      </c>
      <c r="E325" s="788"/>
      <c r="F325" s="738"/>
      <c r="G325" s="738"/>
      <c r="H325" s="738" t="e">
        <f>#REF!</f>
        <v>#REF!</v>
      </c>
      <c r="I325" s="739">
        <f t="shared" si="247"/>
        <v>0</v>
      </c>
      <c r="J325" s="739">
        <f t="shared" si="248"/>
        <v>0</v>
      </c>
      <c r="K325" s="740" t="e">
        <f t="shared" si="238"/>
        <v>#REF!</v>
      </c>
      <c r="L325" s="735" t="e">
        <f t="shared" si="235"/>
        <v>#REF!</v>
      </c>
      <c r="N325" s="741" t="e">
        <f t="shared" ref="N325" si="249">SUM(F325:H325)*1.278</f>
        <v>#REF!</v>
      </c>
      <c r="O325" s="741" t="e">
        <f t="shared" si="165"/>
        <v>#REF!</v>
      </c>
    </row>
    <row r="326" spans="1:15" s="298" customFormat="1" ht="17.100000000000001" customHeight="1">
      <c r="A326" s="838" t="e">
        <f t="shared" si="173"/>
        <v>#REF!</v>
      </c>
      <c r="B326" s="296" t="s">
        <v>1746</v>
      </c>
      <c r="C326" s="737" t="s">
        <v>1272</v>
      </c>
      <c r="D326" s="297"/>
      <c r="E326" s="842"/>
      <c r="F326" s="762"/>
      <c r="G326" s="738"/>
      <c r="H326" s="738"/>
      <c r="I326" s="739">
        <f t="shared" si="247"/>
        <v>0</v>
      </c>
      <c r="J326" s="739">
        <f t="shared" si="248"/>
        <v>0</v>
      </c>
      <c r="K326" s="740">
        <f t="shared" si="238"/>
        <v>0</v>
      </c>
      <c r="L326" s="735">
        <f t="shared" si="235"/>
        <v>1</v>
      </c>
      <c r="N326" s="741">
        <f t="shared" si="164"/>
        <v>0</v>
      </c>
      <c r="O326" s="741">
        <f t="shared" si="165"/>
        <v>0</v>
      </c>
    </row>
    <row r="327" spans="1:15" s="298" customFormat="1" ht="17.100000000000001" hidden="1" customHeight="1">
      <c r="A327" s="736" t="e">
        <f t="shared" si="173"/>
        <v>#REF!</v>
      </c>
      <c r="B327" s="296" t="s">
        <v>1522</v>
      </c>
      <c r="C327" s="296" t="s">
        <v>24</v>
      </c>
      <c r="D327" s="297" t="s">
        <v>2</v>
      </c>
      <c r="E327" s="788"/>
      <c r="F327" s="738" t="e">
        <f>#REF!</f>
        <v>#REF!</v>
      </c>
      <c r="G327" s="738" t="e">
        <f>#REF!</f>
        <v>#REF!</v>
      </c>
      <c r="H327" s="738" t="e">
        <f>#REF!</f>
        <v>#REF!</v>
      </c>
      <c r="I327" s="739" t="e">
        <f t="shared" si="247"/>
        <v>#REF!</v>
      </c>
      <c r="J327" s="739" t="e">
        <f t="shared" si="248"/>
        <v>#REF!</v>
      </c>
      <c r="K327" s="740" t="e">
        <f t="shared" si="238"/>
        <v>#REF!</v>
      </c>
      <c r="L327" s="735" t="e">
        <f t="shared" si="235"/>
        <v>#REF!</v>
      </c>
      <c r="N327" s="741" t="e">
        <f t="shared" si="164"/>
        <v>#REF!</v>
      </c>
      <c r="O327" s="741" t="e">
        <f t="shared" si="165"/>
        <v>#REF!</v>
      </c>
    </row>
    <row r="328" spans="1:15" s="298" customFormat="1" ht="17.100000000000001" hidden="1" customHeight="1">
      <c r="A328" s="736" t="e">
        <f t="shared" si="173"/>
        <v>#REF!</v>
      </c>
      <c r="B328" s="296" t="s">
        <v>583</v>
      </c>
      <c r="C328" s="296" t="s">
        <v>1919</v>
      </c>
      <c r="D328" s="297" t="s">
        <v>2</v>
      </c>
      <c r="E328" s="788"/>
      <c r="F328" s="738" t="e">
        <f>#REF!</f>
        <v>#REF!</v>
      </c>
      <c r="G328" s="738" t="e">
        <f>#REF!</f>
        <v>#REF!</v>
      </c>
      <c r="H328" s="738" t="e">
        <f>#REF!</f>
        <v>#REF!</v>
      </c>
      <c r="I328" s="739" t="e">
        <f>E328*F328</f>
        <v>#REF!</v>
      </c>
      <c r="J328" s="739" t="e">
        <f>E328*G328</f>
        <v>#REF!</v>
      </c>
      <c r="K328" s="740" t="e">
        <f>E328*H328</f>
        <v>#REF!</v>
      </c>
      <c r="L328" s="735" t="e">
        <f t="shared" si="235"/>
        <v>#REF!</v>
      </c>
      <c r="N328" s="741" t="e">
        <f t="shared" ref="N328" si="250">SUM(F328:H328)*1.278</f>
        <v>#REF!</v>
      </c>
      <c r="O328" s="741" t="e">
        <f t="shared" si="165"/>
        <v>#REF!</v>
      </c>
    </row>
    <row r="329" spans="1:15" s="298" customFormat="1" ht="17.100000000000001" hidden="1" customHeight="1">
      <c r="A329" s="736" t="e">
        <f t="shared" si="173"/>
        <v>#REF!</v>
      </c>
      <c r="B329" s="296" t="s">
        <v>1897</v>
      </c>
      <c r="C329" s="296" t="s">
        <v>1896</v>
      </c>
      <c r="D329" s="297" t="s">
        <v>2</v>
      </c>
      <c r="E329" s="788"/>
      <c r="F329" s="738" t="e">
        <f>#REF!</f>
        <v>#REF!</v>
      </c>
      <c r="G329" s="738" t="e">
        <f>#REF!</f>
        <v>#REF!</v>
      </c>
      <c r="H329" s="738" t="e">
        <f>#REF!</f>
        <v>#REF!</v>
      </c>
      <c r="I329" s="739" t="e">
        <f t="shared" si="247"/>
        <v>#REF!</v>
      </c>
      <c r="J329" s="739" t="e">
        <f t="shared" si="248"/>
        <v>#REF!</v>
      </c>
      <c r="K329" s="740" t="e">
        <f t="shared" ref="K329" si="251">E329*H329</f>
        <v>#REF!</v>
      </c>
      <c r="L329" s="735" t="e">
        <f t="shared" ref="L329:L330" si="252">IF(OR(SUM(I329:K329)&lt;&gt;0,B329="*"),$L$5,0)</f>
        <v>#REF!</v>
      </c>
      <c r="N329" s="741" t="e">
        <f t="shared" ref="N329" si="253">SUM(F329:H329)*1.278</f>
        <v>#REF!</v>
      </c>
      <c r="O329" s="741" t="e">
        <f t="shared" ref="O329:O330" si="254">N329*E329</f>
        <v>#REF!</v>
      </c>
    </row>
    <row r="330" spans="1:15" s="298" customFormat="1" ht="17.100000000000001" customHeight="1">
      <c r="A330" s="736" t="e">
        <f t="shared" si="173"/>
        <v>#REF!</v>
      </c>
      <c r="B330" s="296" t="s">
        <v>1938</v>
      </c>
      <c r="C330" s="296" t="s">
        <v>1940</v>
      </c>
      <c r="D330" s="297" t="s">
        <v>2</v>
      </c>
      <c r="E330" s="788"/>
      <c r="F330" s="738" t="e">
        <f>#REF!</f>
        <v>#REF!</v>
      </c>
      <c r="G330" s="738" t="e">
        <f>#REF!</f>
        <v>#REF!</v>
      </c>
      <c r="H330" s="738" t="e">
        <f>#REF!</f>
        <v>#REF!</v>
      </c>
      <c r="I330" s="739" t="e">
        <f>E330*F330</f>
        <v>#REF!</v>
      </c>
      <c r="J330" s="739" t="e">
        <f>E330*G330</f>
        <v>#REF!</v>
      </c>
      <c r="K330" s="740" t="e">
        <f>E330*H330</f>
        <v>#REF!</v>
      </c>
      <c r="L330" s="735" t="e">
        <f t="shared" si="252"/>
        <v>#REF!</v>
      </c>
      <c r="N330" s="741" t="e">
        <f t="shared" ref="N330" si="255">SUM(F330:H330)*1.278</f>
        <v>#REF!</v>
      </c>
      <c r="O330" s="741" t="e">
        <f t="shared" si="254"/>
        <v>#REF!</v>
      </c>
    </row>
    <row r="331" spans="1:15" s="298" customFormat="1" ht="17.100000000000001" hidden="1" customHeight="1">
      <c r="A331" s="736" t="e">
        <f t="shared" ref="A331:A395" si="256">IF(SUM(F331:H331)&lt;&gt;0,A330+L331,A330)</f>
        <v>#REF!</v>
      </c>
      <c r="B331" s="296" t="s">
        <v>1939</v>
      </c>
      <c r="C331" s="296" t="s">
        <v>1941</v>
      </c>
      <c r="D331" s="297" t="s">
        <v>2</v>
      </c>
      <c r="E331" s="788"/>
      <c r="F331" s="738" t="e">
        <f>#REF!</f>
        <v>#REF!</v>
      </c>
      <c r="G331" s="738" t="e">
        <f>#REF!</f>
        <v>#REF!</v>
      </c>
      <c r="H331" s="738" t="e">
        <f>#REF!</f>
        <v>#REF!</v>
      </c>
      <c r="I331" s="739" t="e">
        <f t="shared" ref="I331" si="257">E331*F331</f>
        <v>#REF!</v>
      </c>
      <c r="J331" s="739" t="e">
        <f t="shared" ref="J331" si="258">E331*G331</f>
        <v>#REF!</v>
      </c>
      <c r="K331" s="740" t="e">
        <f t="shared" ref="K331" si="259">E331*H331</f>
        <v>#REF!</v>
      </c>
      <c r="L331" s="735" t="e">
        <f t="shared" ref="L331" si="260">IF(OR(SUM(I331:K331)&lt;&gt;0,B331="*"),$L$5,0)</f>
        <v>#REF!</v>
      </c>
      <c r="N331" s="741" t="e">
        <f t="shared" ref="N331" si="261">SUM(F331:H331)*1.278</f>
        <v>#REF!</v>
      </c>
      <c r="O331" s="741" t="e">
        <f t="shared" ref="O331" si="262">N331*E331</f>
        <v>#REF!</v>
      </c>
    </row>
    <row r="332" spans="1:15" s="298" customFormat="1" ht="17.100000000000001" customHeight="1">
      <c r="A332" s="736" t="e">
        <f t="shared" si="256"/>
        <v>#REF!</v>
      </c>
      <c r="B332" s="296" t="s">
        <v>32</v>
      </c>
      <c r="C332" s="296" t="s">
        <v>33</v>
      </c>
      <c r="D332" s="297" t="s">
        <v>34</v>
      </c>
      <c r="E332" s="788"/>
      <c r="F332" s="738" t="e">
        <f>#REF!</f>
        <v>#REF!</v>
      </c>
      <c r="G332" s="738"/>
      <c r="H332" s="738"/>
      <c r="I332" s="739" t="e">
        <f t="shared" si="247"/>
        <v>#REF!</v>
      </c>
      <c r="J332" s="739">
        <f t="shared" si="248"/>
        <v>0</v>
      </c>
      <c r="K332" s="740">
        <f t="shared" si="238"/>
        <v>0</v>
      </c>
      <c r="L332" s="735" t="e">
        <f t="shared" si="235"/>
        <v>#REF!</v>
      </c>
      <c r="N332" s="741" t="e">
        <f t="shared" si="164"/>
        <v>#REF!</v>
      </c>
      <c r="O332" s="741" t="e">
        <f t="shared" si="165"/>
        <v>#REF!</v>
      </c>
    </row>
    <row r="333" spans="1:15" s="298" customFormat="1" ht="17.100000000000001" customHeight="1">
      <c r="A333" s="736" t="e">
        <f t="shared" si="256"/>
        <v>#REF!</v>
      </c>
      <c r="B333" s="296" t="s">
        <v>38</v>
      </c>
      <c r="C333" s="296" t="s">
        <v>39</v>
      </c>
      <c r="D333" s="297" t="s">
        <v>9</v>
      </c>
      <c r="E333" s="788"/>
      <c r="F333" s="738" t="e">
        <f>#REF!</f>
        <v>#REF!</v>
      </c>
      <c r="G333" s="738" t="e">
        <f>#REF!</f>
        <v>#REF!</v>
      </c>
      <c r="H333" s="738" t="e">
        <f>#REF!</f>
        <v>#REF!</v>
      </c>
      <c r="I333" s="739" t="e">
        <f t="shared" si="247"/>
        <v>#REF!</v>
      </c>
      <c r="J333" s="739" t="e">
        <f t="shared" si="248"/>
        <v>#REF!</v>
      </c>
      <c r="K333" s="740" t="e">
        <f t="shared" si="238"/>
        <v>#REF!</v>
      </c>
      <c r="L333" s="735" t="e">
        <f t="shared" si="235"/>
        <v>#REF!</v>
      </c>
      <c r="N333" s="741" t="e">
        <f t="shared" si="164"/>
        <v>#REF!</v>
      </c>
      <c r="O333" s="741" t="e">
        <f t="shared" si="165"/>
        <v>#REF!</v>
      </c>
    </row>
    <row r="334" spans="1:15" s="298" customFormat="1" ht="17.100000000000001" hidden="1" customHeight="1">
      <c r="A334" s="736" t="e">
        <f t="shared" si="256"/>
        <v>#REF!</v>
      </c>
      <c r="B334" s="296" t="s">
        <v>1922</v>
      </c>
      <c r="C334" s="296" t="s">
        <v>1923</v>
      </c>
      <c r="D334" s="297" t="s">
        <v>9</v>
      </c>
      <c r="E334" s="788"/>
      <c r="F334" s="738" t="e">
        <f>#REF!</f>
        <v>#REF!</v>
      </c>
      <c r="G334" s="738" t="e">
        <f>#REF!</f>
        <v>#REF!</v>
      </c>
      <c r="H334" s="738"/>
      <c r="I334" s="739" t="e">
        <f t="shared" si="247"/>
        <v>#REF!</v>
      </c>
      <c r="J334" s="739" t="e">
        <f t="shared" si="248"/>
        <v>#REF!</v>
      </c>
      <c r="K334" s="740">
        <f t="shared" si="238"/>
        <v>0</v>
      </c>
      <c r="L334" s="735" t="e">
        <f t="shared" si="235"/>
        <v>#REF!</v>
      </c>
      <c r="N334" s="741" t="e">
        <f t="shared" ref="N334" si="263">SUM(F334:H334)*1.278</f>
        <v>#REF!</v>
      </c>
      <c r="O334" s="741" t="e">
        <f t="shared" si="165"/>
        <v>#REF!</v>
      </c>
    </row>
    <row r="335" spans="1:15" s="298" customFormat="1" ht="17.100000000000001" hidden="1" customHeight="1">
      <c r="A335" s="736" t="e">
        <f t="shared" si="256"/>
        <v>#REF!</v>
      </c>
      <c r="B335" s="296" t="s">
        <v>47</v>
      </c>
      <c r="C335" s="296" t="s">
        <v>48</v>
      </c>
      <c r="D335" s="297" t="s">
        <v>49</v>
      </c>
      <c r="E335" s="788"/>
      <c r="F335" s="738"/>
      <c r="G335" s="738" t="e">
        <f>#REF!</f>
        <v>#REF!</v>
      </c>
      <c r="H335" s="738" t="e">
        <f>#REF!</f>
        <v>#REF!</v>
      </c>
      <c r="I335" s="739">
        <f t="shared" si="247"/>
        <v>0</v>
      </c>
      <c r="J335" s="739" t="e">
        <f t="shared" si="248"/>
        <v>#REF!</v>
      </c>
      <c r="K335" s="740" t="e">
        <f t="shared" si="238"/>
        <v>#REF!</v>
      </c>
      <c r="L335" s="735" t="e">
        <f t="shared" si="235"/>
        <v>#REF!</v>
      </c>
      <c r="N335" s="741" t="e">
        <f t="shared" si="164"/>
        <v>#REF!</v>
      </c>
      <c r="O335" s="741" t="e">
        <f t="shared" si="165"/>
        <v>#REF!</v>
      </c>
    </row>
    <row r="336" spans="1:15" s="298" customFormat="1" ht="17.100000000000001" hidden="1" customHeight="1">
      <c r="A336" s="736" t="e">
        <f t="shared" si="256"/>
        <v>#REF!</v>
      </c>
      <c r="B336" s="296" t="s">
        <v>51</v>
      </c>
      <c r="C336" s="296" t="s">
        <v>52</v>
      </c>
      <c r="D336" s="297" t="s">
        <v>49</v>
      </c>
      <c r="E336" s="788"/>
      <c r="F336" s="738"/>
      <c r="G336" s="738" t="e">
        <f>#REF!</f>
        <v>#REF!</v>
      </c>
      <c r="H336" s="738" t="e">
        <f>#REF!</f>
        <v>#REF!</v>
      </c>
      <c r="I336" s="739">
        <f t="shared" si="247"/>
        <v>0</v>
      </c>
      <c r="J336" s="739" t="e">
        <f t="shared" si="248"/>
        <v>#REF!</v>
      </c>
      <c r="K336" s="740" t="e">
        <f t="shared" si="238"/>
        <v>#REF!</v>
      </c>
      <c r="L336" s="735" t="e">
        <f t="shared" si="235"/>
        <v>#REF!</v>
      </c>
      <c r="N336" s="741" t="e">
        <f t="shared" si="164"/>
        <v>#REF!</v>
      </c>
      <c r="O336" s="741" t="e">
        <f t="shared" si="165"/>
        <v>#REF!</v>
      </c>
    </row>
    <row r="337" spans="1:15" s="298" customFormat="1" ht="17.100000000000001" hidden="1" customHeight="1">
      <c r="A337" s="736" t="e">
        <f t="shared" si="256"/>
        <v>#REF!</v>
      </c>
      <c r="B337" s="296" t="s">
        <v>54</v>
      </c>
      <c r="C337" s="296" t="s">
        <v>55</v>
      </c>
      <c r="D337" s="297" t="s">
        <v>49</v>
      </c>
      <c r="E337" s="788"/>
      <c r="F337" s="738" t="e">
        <f>#REF!</f>
        <v>#REF!</v>
      </c>
      <c r="G337" s="738" t="e">
        <f>#REF!</f>
        <v>#REF!</v>
      </c>
      <c r="H337" s="738" t="e">
        <f>#REF!</f>
        <v>#REF!</v>
      </c>
      <c r="I337" s="739" t="e">
        <f t="shared" si="247"/>
        <v>#REF!</v>
      </c>
      <c r="J337" s="739" t="e">
        <f t="shared" si="248"/>
        <v>#REF!</v>
      </c>
      <c r="K337" s="740" t="e">
        <f t="shared" si="238"/>
        <v>#REF!</v>
      </c>
      <c r="L337" s="735" t="e">
        <f t="shared" si="235"/>
        <v>#REF!</v>
      </c>
      <c r="N337" s="741" t="e">
        <f t="shared" si="164"/>
        <v>#REF!</v>
      </c>
      <c r="O337" s="741" t="e">
        <f t="shared" si="165"/>
        <v>#REF!</v>
      </c>
    </row>
    <row r="338" spans="1:15" s="298" customFormat="1" ht="17.100000000000001" customHeight="1">
      <c r="A338" s="736" t="e">
        <f t="shared" si="256"/>
        <v>#REF!</v>
      </c>
      <c r="B338" s="296" t="s">
        <v>1023</v>
      </c>
      <c r="C338" s="296" t="s">
        <v>1028</v>
      </c>
      <c r="D338" s="297" t="s">
        <v>310</v>
      </c>
      <c r="E338" s="788"/>
      <c r="F338" s="738" t="e">
        <f>#REF!</f>
        <v>#REF!</v>
      </c>
      <c r="G338" s="738" t="e">
        <f>#REF!</f>
        <v>#REF!</v>
      </c>
      <c r="H338" s="738" t="e">
        <f>#REF!</f>
        <v>#REF!</v>
      </c>
      <c r="I338" s="739" t="e">
        <f t="shared" si="247"/>
        <v>#REF!</v>
      </c>
      <c r="J338" s="739" t="e">
        <f t="shared" si="248"/>
        <v>#REF!</v>
      </c>
      <c r="K338" s="740" t="e">
        <f t="shared" si="238"/>
        <v>#REF!</v>
      </c>
      <c r="L338" s="735" t="e">
        <f t="shared" si="235"/>
        <v>#REF!</v>
      </c>
      <c r="N338" s="741" t="e">
        <f t="shared" si="164"/>
        <v>#REF!</v>
      </c>
      <c r="O338" s="741" t="e">
        <f t="shared" si="165"/>
        <v>#REF!</v>
      </c>
    </row>
    <row r="339" spans="1:15" s="298" customFormat="1" ht="17.100000000000001" customHeight="1">
      <c r="A339" s="736" t="e">
        <f t="shared" si="256"/>
        <v>#REF!</v>
      </c>
      <c r="B339" s="296" t="s">
        <v>1920</v>
      </c>
      <c r="C339" s="296" t="s">
        <v>1921</v>
      </c>
      <c r="D339" s="297" t="s">
        <v>2</v>
      </c>
      <c r="E339" s="788"/>
      <c r="F339" s="738" t="e">
        <f>#REF!</f>
        <v>#REF!</v>
      </c>
      <c r="G339" s="738"/>
      <c r="H339" s="738"/>
      <c r="I339" s="739" t="e">
        <f t="shared" si="247"/>
        <v>#REF!</v>
      </c>
      <c r="J339" s="739">
        <f t="shared" si="248"/>
        <v>0</v>
      </c>
      <c r="K339" s="740">
        <f t="shared" si="238"/>
        <v>0</v>
      </c>
      <c r="L339" s="735" t="e">
        <f t="shared" si="235"/>
        <v>#REF!</v>
      </c>
      <c r="N339" s="741" t="e">
        <f t="shared" ref="N339" si="264">SUM(F339:H339)*1.278</f>
        <v>#REF!</v>
      </c>
      <c r="O339" s="741" t="e">
        <f t="shared" si="165"/>
        <v>#REF!</v>
      </c>
    </row>
    <row r="340" spans="1:15" s="298" customFormat="1" ht="17.100000000000001" hidden="1" customHeight="1">
      <c r="A340" s="736" t="e">
        <f t="shared" si="256"/>
        <v>#REF!</v>
      </c>
      <c r="B340" s="296" t="s">
        <v>57</v>
      </c>
      <c r="C340" s="296" t="s">
        <v>58</v>
      </c>
      <c r="D340" s="297" t="s">
        <v>59</v>
      </c>
      <c r="E340" s="788"/>
      <c r="F340" s="738" t="e">
        <f>#REF!</f>
        <v>#REF!</v>
      </c>
      <c r="G340" s="738"/>
      <c r="H340" s="738"/>
      <c r="I340" s="739" t="e">
        <f t="shared" si="247"/>
        <v>#REF!</v>
      </c>
      <c r="J340" s="739">
        <f t="shared" si="248"/>
        <v>0</v>
      </c>
      <c r="K340" s="740">
        <f t="shared" si="238"/>
        <v>0</v>
      </c>
      <c r="L340" s="735" t="e">
        <f t="shared" si="235"/>
        <v>#REF!</v>
      </c>
      <c r="N340" s="741" t="e">
        <f t="shared" si="164"/>
        <v>#REF!</v>
      </c>
      <c r="O340" s="741" t="e">
        <f t="shared" si="165"/>
        <v>#REF!</v>
      </c>
    </row>
    <row r="341" spans="1:15" s="298" customFormat="1" ht="17.100000000000001" hidden="1" customHeight="1">
      <c r="A341" s="736" t="e">
        <f t="shared" si="256"/>
        <v>#REF!</v>
      </c>
      <c r="B341" s="296" t="s">
        <v>67</v>
      </c>
      <c r="C341" s="296" t="s">
        <v>68</v>
      </c>
      <c r="D341" s="297" t="s">
        <v>59</v>
      </c>
      <c r="E341" s="788"/>
      <c r="F341" s="738" t="e">
        <f>#REF!</f>
        <v>#REF!</v>
      </c>
      <c r="G341" s="738"/>
      <c r="H341" s="738"/>
      <c r="I341" s="739" t="e">
        <f t="shared" si="247"/>
        <v>#REF!</v>
      </c>
      <c r="J341" s="739">
        <f t="shared" si="248"/>
        <v>0</v>
      </c>
      <c r="K341" s="740">
        <f t="shared" si="238"/>
        <v>0</v>
      </c>
      <c r="L341" s="735" t="e">
        <f t="shared" si="235"/>
        <v>#REF!</v>
      </c>
      <c r="N341" s="741" t="e">
        <f t="shared" si="164"/>
        <v>#REF!</v>
      </c>
      <c r="O341" s="741" t="e">
        <f t="shared" si="165"/>
        <v>#REF!</v>
      </c>
    </row>
    <row r="342" spans="1:15" s="298" customFormat="1" ht="17.100000000000001" hidden="1" customHeight="1">
      <c r="A342" s="736" t="e">
        <f t="shared" si="256"/>
        <v>#REF!</v>
      </c>
      <c r="B342" s="296" t="s">
        <v>62</v>
      </c>
      <c r="C342" s="296" t="s">
        <v>63</v>
      </c>
      <c r="D342" s="297" t="s">
        <v>59</v>
      </c>
      <c r="E342" s="788"/>
      <c r="F342" s="738" t="e">
        <f>#REF!</f>
        <v>#REF!</v>
      </c>
      <c r="G342" s="738" t="e">
        <f>#REF!</f>
        <v>#REF!</v>
      </c>
      <c r="H342" s="738" t="e">
        <f>#REF!</f>
        <v>#REF!</v>
      </c>
      <c r="I342" s="739" t="e">
        <f t="shared" si="247"/>
        <v>#REF!</v>
      </c>
      <c r="J342" s="739" t="e">
        <f t="shared" si="248"/>
        <v>#REF!</v>
      </c>
      <c r="K342" s="740" t="e">
        <f t="shared" si="238"/>
        <v>#REF!</v>
      </c>
      <c r="L342" s="735" t="e">
        <f t="shared" si="235"/>
        <v>#REF!</v>
      </c>
      <c r="N342" s="741" t="e">
        <f t="shared" si="164"/>
        <v>#REF!</v>
      </c>
      <c r="O342" s="741" t="e">
        <f t="shared" si="165"/>
        <v>#REF!</v>
      </c>
    </row>
    <row r="343" spans="1:15" s="298" customFormat="1" ht="17.100000000000001" hidden="1" customHeight="1">
      <c r="A343" s="736" t="e">
        <f t="shared" si="256"/>
        <v>#REF!</v>
      </c>
      <c r="B343" s="296" t="s">
        <v>71</v>
      </c>
      <c r="C343" s="296" t="s">
        <v>72</v>
      </c>
      <c r="D343" s="297" t="s">
        <v>9</v>
      </c>
      <c r="E343" s="788"/>
      <c r="F343" s="738" t="e">
        <f>#REF!</f>
        <v>#REF!</v>
      </c>
      <c r="G343" s="738"/>
      <c r="H343" s="738"/>
      <c r="I343" s="739" t="e">
        <f t="shared" si="247"/>
        <v>#REF!</v>
      </c>
      <c r="J343" s="739">
        <f t="shared" si="248"/>
        <v>0</v>
      </c>
      <c r="K343" s="740">
        <f t="shared" si="238"/>
        <v>0</v>
      </c>
      <c r="L343" s="735" t="e">
        <f t="shared" si="235"/>
        <v>#REF!</v>
      </c>
      <c r="N343" s="741" t="e">
        <f t="shared" si="164"/>
        <v>#REF!</v>
      </c>
      <c r="O343" s="741" t="e">
        <f t="shared" si="165"/>
        <v>#REF!</v>
      </c>
    </row>
    <row r="344" spans="1:15" s="298" customFormat="1" ht="17.100000000000001" customHeight="1">
      <c r="A344" s="736" t="e">
        <f t="shared" si="256"/>
        <v>#REF!</v>
      </c>
      <c r="B344" s="296" t="s">
        <v>74</v>
      </c>
      <c r="C344" s="296" t="s">
        <v>75</v>
      </c>
      <c r="D344" s="297" t="s">
        <v>2</v>
      </c>
      <c r="E344" s="788"/>
      <c r="F344" s="738" t="e">
        <f>#REF!</f>
        <v>#REF!</v>
      </c>
      <c r="G344" s="738"/>
      <c r="H344" s="738"/>
      <c r="I344" s="739" t="e">
        <f t="shared" si="247"/>
        <v>#REF!</v>
      </c>
      <c r="J344" s="739">
        <f t="shared" si="248"/>
        <v>0</v>
      </c>
      <c r="K344" s="740">
        <f t="shared" si="238"/>
        <v>0</v>
      </c>
      <c r="L344" s="735" t="e">
        <f t="shared" si="235"/>
        <v>#REF!</v>
      </c>
      <c r="N344" s="741" t="e">
        <f t="shared" si="164"/>
        <v>#REF!</v>
      </c>
      <c r="O344" s="741" t="e">
        <f t="shared" si="165"/>
        <v>#REF!</v>
      </c>
    </row>
    <row r="345" spans="1:15" s="298" customFormat="1" ht="17.100000000000001" customHeight="1">
      <c r="A345" s="736" t="e">
        <f t="shared" si="256"/>
        <v>#REF!</v>
      </c>
      <c r="B345" s="296" t="s">
        <v>1922</v>
      </c>
      <c r="C345" s="296" t="s">
        <v>1923</v>
      </c>
      <c r="D345" s="297" t="s">
        <v>9</v>
      </c>
      <c r="E345" s="788"/>
      <c r="F345" s="738" t="e">
        <f>#REF!</f>
        <v>#REF!</v>
      </c>
      <c r="G345" s="738" t="e">
        <f>#REF!</f>
        <v>#REF!</v>
      </c>
      <c r="H345" s="738"/>
      <c r="I345" s="739" t="e">
        <f t="shared" ref="I345" si="265">E345*F345</f>
        <v>#REF!</v>
      </c>
      <c r="J345" s="739" t="e">
        <f t="shared" ref="J345" si="266">E345*G345</f>
        <v>#REF!</v>
      </c>
      <c r="K345" s="740">
        <f t="shared" ref="K345" si="267">E345*H345</f>
        <v>0</v>
      </c>
      <c r="L345" s="735" t="e">
        <f t="shared" ref="L345" si="268">IF(OR(SUM(I345:K345)&lt;&gt;0,B345="*"),$L$5,0)</f>
        <v>#REF!</v>
      </c>
      <c r="N345" s="741" t="e">
        <f t="shared" si="164"/>
        <v>#REF!</v>
      </c>
      <c r="O345" s="741" t="e">
        <f t="shared" ref="O345" si="269">N345*E345</f>
        <v>#REF!</v>
      </c>
    </row>
    <row r="346" spans="1:15" s="298" customFormat="1" ht="17.100000000000001" hidden="1" customHeight="1">
      <c r="A346" s="736" t="e">
        <f t="shared" si="256"/>
        <v>#REF!</v>
      </c>
      <c r="B346" s="296" t="s">
        <v>43</v>
      </c>
      <c r="C346" s="296" t="s">
        <v>545</v>
      </c>
      <c r="D346" s="297" t="s">
        <v>9</v>
      </c>
      <c r="E346" s="788"/>
      <c r="F346" s="738" t="e">
        <f>#REF!</f>
        <v>#REF!</v>
      </c>
      <c r="G346" s="738" t="e">
        <f>#REF!</f>
        <v>#REF!</v>
      </c>
      <c r="H346" s="738"/>
      <c r="I346" s="739" t="e">
        <f t="shared" si="247"/>
        <v>#REF!</v>
      </c>
      <c r="J346" s="739" t="e">
        <f t="shared" si="248"/>
        <v>#REF!</v>
      </c>
      <c r="K346" s="740">
        <f t="shared" si="238"/>
        <v>0</v>
      </c>
      <c r="L346" s="735" t="e">
        <f t="shared" si="235"/>
        <v>#REF!</v>
      </c>
      <c r="N346" s="741" t="e">
        <f t="shared" si="164"/>
        <v>#REF!</v>
      </c>
      <c r="O346" s="741" t="e">
        <f t="shared" si="165"/>
        <v>#REF!</v>
      </c>
    </row>
    <row r="347" spans="1:15" s="298" customFormat="1" ht="17.100000000000001" customHeight="1">
      <c r="A347" s="736" t="e">
        <f t="shared" si="256"/>
        <v>#REF!</v>
      </c>
      <c r="B347" s="296" t="s">
        <v>22</v>
      </c>
      <c r="C347" s="296" t="s">
        <v>1990</v>
      </c>
      <c r="D347" s="297" t="s">
        <v>2</v>
      </c>
      <c r="E347" s="788"/>
      <c r="F347" s="738" t="e">
        <f>#REF!</f>
        <v>#REF!</v>
      </c>
      <c r="G347" s="738" t="e">
        <f>#REF!</f>
        <v>#REF!</v>
      </c>
      <c r="H347" s="738" t="e">
        <f>#REF!</f>
        <v>#REF!</v>
      </c>
      <c r="I347" s="739" t="e">
        <f t="shared" si="247"/>
        <v>#REF!</v>
      </c>
      <c r="J347" s="739" t="e">
        <f t="shared" si="248"/>
        <v>#REF!</v>
      </c>
      <c r="K347" s="740" t="e">
        <f t="shared" si="238"/>
        <v>#REF!</v>
      </c>
      <c r="L347" s="735" t="e">
        <f t="shared" si="235"/>
        <v>#REF!</v>
      </c>
      <c r="N347" s="741" t="e">
        <f t="shared" si="164"/>
        <v>#REF!</v>
      </c>
      <c r="O347" s="741" t="e">
        <f t="shared" si="165"/>
        <v>#REF!</v>
      </c>
    </row>
    <row r="348" spans="1:15" s="298" customFormat="1" ht="17.100000000000001" hidden="1" customHeight="1">
      <c r="A348" s="736" t="e">
        <f t="shared" si="256"/>
        <v>#REF!</v>
      </c>
      <c r="B348" s="296" t="s">
        <v>546</v>
      </c>
      <c r="C348" s="296" t="s">
        <v>715</v>
      </c>
      <c r="D348" s="297" t="s">
        <v>2</v>
      </c>
      <c r="E348" s="788"/>
      <c r="F348" s="738" t="e">
        <f>#REF!</f>
        <v>#REF!</v>
      </c>
      <c r="G348" s="738" t="e">
        <f>#REF!</f>
        <v>#REF!</v>
      </c>
      <c r="H348" s="738" t="e">
        <f>#REF!</f>
        <v>#REF!</v>
      </c>
      <c r="I348" s="739" t="e">
        <f t="shared" si="247"/>
        <v>#REF!</v>
      </c>
      <c r="J348" s="739" t="e">
        <f t="shared" si="248"/>
        <v>#REF!</v>
      </c>
      <c r="K348" s="740" t="e">
        <f t="shared" si="238"/>
        <v>#REF!</v>
      </c>
      <c r="L348" s="735" t="e">
        <f t="shared" si="235"/>
        <v>#REF!</v>
      </c>
      <c r="N348" s="741" t="e">
        <f t="shared" ref="N348" si="270">SUM(F348:H348)*1.278</f>
        <v>#REF!</v>
      </c>
      <c r="O348" s="741" t="e">
        <f t="shared" si="165"/>
        <v>#REF!</v>
      </c>
    </row>
    <row r="349" spans="1:15" s="298" customFormat="1" ht="17.100000000000001" hidden="1" customHeight="1">
      <c r="A349" s="736" t="e">
        <f t="shared" si="256"/>
        <v>#REF!</v>
      </c>
      <c r="B349" s="296" t="s">
        <v>6</v>
      </c>
      <c r="C349" s="296" t="s">
        <v>582</v>
      </c>
      <c r="D349" s="297" t="s">
        <v>2</v>
      </c>
      <c r="E349" s="788"/>
      <c r="F349" s="738"/>
      <c r="G349" s="738" t="e">
        <f>#REF!</f>
        <v>#REF!</v>
      </c>
      <c r="H349" s="738" t="e">
        <f>#REF!</f>
        <v>#REF!</v>
      </c>
      <c r="I349" s="739">
        <f t="shared" si="247"/>
        <v>0</v>
      </c>
      <c r="J349" s="739" t="e">
        <f t="shared" si="248"/>
        <v>#REF!</v>
      </c>
      <c r="K349" s="740" t="e">
        <f t="shared" si="238"/>
        <v>#REF!</v>
      </c>
      <c r="L349" s="735" t="e">
        <f t="shared" si="235"/>
        <v>#REF!</v>
      </c>
      <c r="N349" s="741" t="e">
        <f t="shared" si="164"/>
        <v>#REF!</v>
      </c>
      <c r="O349" s="741" t="e">
        <f t="shared" si="165"/>
        <v>#REF!</v>
      </c>
    </row>
    <row r="350" spans="1:15" s="298" customFormat="1" ht="17.100000000000001" hidden="1" customHeight="1">
      <c r="A350" s="736" t="e">
        <f t="shared" si="256"/>
        <v>#REF!</v>
      </c>
      <c r="B350" s="296" t="s">
        <v>1523</v>
      </c>
      <c r="C350" s="296" t="s">
        <v>584</v>
      </c>
      <c r="D350" s="297" t="s">
        <v>2</v>
      </c>
      <c r="E350" s="788"/>
      <c r="F350" s="738" t="e">
        <f>#REF!</f>
        <v>#REF!</v>
      </c>
      <c r="G350" s="738" t="e">
        <f>#REF!</f>
        <v>#REF!</v>
      </c>
      <c r="H350" s="738" t="e">
        <f>#REF!</f>
        <v>#REF!</v>
      </c>
      <c r="I350" s="739" t="e">
        <f t="shared" ref="I350:I355" si="271">E350*F350</f>
        <v>#REF!</v>
      </c>
      <c r="J350" s="739" t="e">
        <f t="shared" ref="J350:J355" si="272">E350*G350</f>
        <v>#REF!</v>
      </c>
      <c r="K350" s="740" t="e">
        <f t="shared" si="238"/>
        <v>#REF!</v>
      </c>
      <c r="L350" s="735" t="e">
        <f t="shared" si="235"/>
        <v>#REF!</v>
      </c>
      <c r="N350" s="741" t="e">
        <f t="shared" si="164"/>
        <v>#REF!</v>
      </c>
      <c r="O350" s="741" t="e">
        <f t="shared" si="165"/>
        <v>#REF!</v>
      </c>
    </row>
    <row r="351" spans="1:15" s="298" customFormat="1" ht="17.100000000000001" customHeight="1">
      <c r="A351" s="736" t="e">
        <f t="shared" si="256"/>
        <v>#REF!</v>
      </c>
      <c r="B351" s="296" t="s">
        <v>697</v>
      </c>
      <c r="C351" s="296" t="s">
        <v>1999</v>
      </c>
      <c r="D351" s="297" t="s">
        <v>310</v>
      </c>
      <c r="E351" s="788"/>
      <c r="F351" s="738" t="e">
        <f>#REF!</f>
        <v>#REF!</v>
      </c>
      <c r="G351" s="738" t="e">
        <f>#REF!</f>
        <v>#REF!</v>
      </c>
      <c r="H351" s="738" t="e">
        <f>#REF!</f>
        <v>#REF!</v>
      </c>
      <c r="I351" s="739" t="e">
        <f t="shared" si="271"/>
        <v>#REF!</v>
      </c>
      <c r="J351" s="739" t="e">
        <f t="shared" si="272"/>
        <v>#REF!</v>
      </c>
      <c r="K351" s="740" t="e">
        <f t="shared" si="238"/>
        <v>#REF!</v>
      </c>
      <c r="L351" s="735" t="e">
        <f t="shared" si="235"/>
        <v>#REF!</v>
      </c>
      <c r="N351" s="741" t="e">
        <f t="shared" ref="N351" si="273">SUM(F351:H351)*1.278</f>
        <v>#REF!</v>
      </c>
      <c r="O351" s="741" t="e">
        <f t="shared" si="165"/>
        <v>#REF!</v>
      </c>
    </row>
    <row r="352" spans="1:15" s="298" customFormat="1" ht="17.100000000000001" hidden="1" customHeight="1">
      <c r="A352" s="736" t="e">
        <f t="shared" si="256"/>
        <v>#REF!</v>
      </c>
      <c r="B352" s="296"/>
      <c r="C352" s="737" t="s">
        <v>1839</v>
      </c>
      <c r="D352" s="297" t="s">
        <v>0</v>
      </c>
      <c r="E352" s="788"/>
      <c r="F352" s="738"/>
      <c r="G352" s="738"/>
      <c r="H352" s="738"/>
      <c r="I352" s="739">
        <f t="shared" si="271"/>
        <v>0</v>
      </c>
      <c r="J352" s="739">
        <f t="shared" si="272"/>
        <v>0</v>
      </c>
      <c r="K352" s="740">
        <f t="shared" si="238"/>
        <v>0</v>
      </c>
      <c r="L352" s="735">
        <f t="shared" si="235"/>
        <v>0</v>
      </c>
      <c r="N352" s="741">
        <f t="shared" ref="N352:N356" si="274">SUM(F352:H352)*1.278</f>
        <v>0</v>
      </c>
      <c r="O352" s="741">
        <f t="shared" si="165"/>
        <v>0</v>
      </c>
    </row>
    <row r="353" spans="1:15" s="298" customFormat="1" ht="17.100000000000001" hidden="1" customHeight="1">
      <c r="A353" s="736" t="e">
        <f t="shared" si="256"/>
        <v>#REF!</v>
      </c>
      <c r="B353" s="296" t="s">
        <v>1572</v>
      </c>
      <c r="C353" s="296" t="s">
        <v>728</v>
      </c>
      <c r="D353" s="297" t="s">
        <v>2</v>
      </c>
      <c r="E353" s="788"/>
      <c r="F353" s="738" t="e">
        <f>#REF!</f>
        <v>#REF!</v>
      </c>
      <c r="G353" s="738" t="e">
        <f>#REF!</f>
        <v>#REF!</v>
      </c>
      <c r="H353" s="738" t="e">
        <f>#REF!</f>
        <v>#REF!</v>
      </c>
      <c r="I353" s="739" t="e">
        <f t="shared" si="271"/>
        <v>#REF!</v>
      </c>
      <c r="J353" s="739" t="e">
        <f t="shared" si="272"/>
        <v>#REF!</v>
      </c>
      <c r="K353" s="740" t="e">
        <f t="shared" si="238"/>
        <v>#REF!</v>
      </c>
      <c r="L353" s="735" t="e">
        <f t="shared" si="235"/>
        <v>#REF!</v>
      </c>
      <c r="N353" s="741" t="e">
        <f t="shared" si="274"/>
        <v>#REF!</v>
      </c>
      <c r="O353" s="741" t="e">
        <f t="shared" si="165"/>
        <v>#REF!</v>
      </c>
    </row>
    <row r="354" spans="1:15" s="298" customFormat="1" ht="17.100000000000001" hidden="1" customHeight="1">
      <c r="A354" s="736" t="e">
        <f t="shared" si="256"/>
        <v>#REF!</v>
      </c>
      <c r="B354" s="296" t="s">
        <v>1023</v>
      </c>
      <c r="C354" s="296" t="s">
        <v>1840</v>
      </c>
      <c r="D354" s="297" t="s">
        <v>310</v>
      </c>
      <c r="E354" s="788"/>
      <c r="F354" s="738" t="e">
        <f>#REF!</f>
        <v>#REF!</v>
      </c>
      <c r="G354" s="738" t="e">
        <f>#REF!</f>
        <v>#REF!</v>
      </c>
      <c r="H354" s="738" t="e">
        <f>#REF!</f>
        <v>#REF!</v>
      </c>
      <c r="I354" s="739" t="e">
        <f t="shared" si="271"/>
        <v>#REF!</v>
      </c>
      <c r="J354" s="739" t="e">
        <f t="shared" si="272"/>
        <v>#REF!</v>
      </c>
      <c r="K354" s="740" t="e">
        <f t="shared" si="238"/>
        <v>#REF!</v>
      </c>
      <c r="L354" s="735" t="e">
        <f t="shared" ref="L354:L355" si="275">IF(OR(SUM(I354:K354)&lt;&gt;0,B354="*"),$L$5,0)</f>
        <v>#REF!</v>
      </c>
      <c r="N354" s="741" t="e">
        <f t="shared" ref="N354:N355" si="276">SUM(F354:H354)*1.278</f>
        <v>#REF!</v>
      </c>
      <c r="O354" s="741" t="e">
        <f t="shared" si="165"/>
        <v>#REF!</v>
      </c>
    </row>
    <row r="355" spans="1:15" s="298" customFormat="1" ht="17.100000000000001" hidden="1" customHeight="1">
      <c r="A355" s="736" t="e">
        <f t="shared" si="256"/>
        <v>#REF!</v>
      </c>
      <c r="B355" s="296" t="s">
        <v>74</v>
      </c>
      <c r="C355" s="296" t="s">
        <v>75</v>
      </c>
      <c r="D355" s="297" t="s">
        <v>2</v>
      </c>
      <c r="E355" s="788"/>
      <c r="F355" s="738" t="e">
        <f>#REF!</f>
        <v>#REF!</v>
      </c>
      <c r="G355" s="738"/>
      <c r="H355" s="738"/>
      <c r="I355" s="739" t="e">
        <f t="shared" si="271"/>
        <v>#REF!</v>
      </c>
      <c r="J355" s="739">
        <f t="shared" si="272"/>
        <v>0</v>
      </c>
      <c r="K355" s="740">
        <f t="shared" si="238"/>
        <v>0</v>
      </c>
      <c r="L355" s="735" t="e">
        <f t="shared" si="275"/>
        <v>#REF!</v>
      </c>
      <c r="N355" s="741" t="e">
        <f t="shared" si="276"/>
        <v>#REF!</v>
      </c>
      <c r="O355" s="741" t="e">
        <f t="shared" si="165"/>
        <v>#REF!</v>
      </c>
    </row>
    <row r="356" spans="1:15" s="298" customFormat="1" ht="17.100000000000001" hidden="1" customHeight="1">
      <c r="A356" s="736" t="e">
        <f t="shared" si="256"/>
        <v>#REF!</v>
      </c>
      <c r="B356" s="296" t="s">
        <v>614</v>
      </c>
      <c r="C356" s="296" t="s">
        <v>727</v>
      </c>
      <c r="D356" s="297" t="s">
        <v>2</v>
      </c>
      <c r="E356" s="788"/>
      <c r="F356" s="738"/>
      <c r="G356" s="738" t="e">
        <f>#REF!</f>
        <v>#REF!</v>
      </c>
      <c r="H356" s="738"/>
      <c r="I356" s="739">
        <f t="shared" ref="I356:I366" si="277">E356*F356</f>
        <v>0</v>
      </c>
      <c r="J356" s="739" t="e">
        <f t="shared" ref="J356:J366" si="278">E356*G356</f>
        <v>#REF!</v>
      </c>
      <c r="K356" s="740">
        <f t="shared" ref="K356:K366" si="279">E356*H356</f>
        <v>0</v>
      </c>
      <c r="L356" s="735" t="e">
        <f t="shared" si="235"/>
        <v>#REF!</v>
      </c>
      <c r="N356" s="741" t="e">
        <f t="shared" si="274"/>
        <v>#REF!</v>
      </c>
      <c r="O356" s="741" t="e">
        <f t="shared" si="165"/>
        <v>#REF!</v>
      </c>
    </row>
    <row r="357" spans="1:15" s="298" customFormat="1" ht="17.100000000000001" hidden="1" customHeight="1">
      <c r="A357" s="736" t="e">
        <f t="shared" si="256"/>
        <v>#REF!</v>
      </c>
      <c r="B357" s="296" t="s">
        <v>690</v>
      </c>
      <c r="C357" s="296" t="s">
        <v>1785</v>
      </c>
      <c r="D357" s="297" t="s">
        <v>2</v>
      </c>
      <c r="E357" s="788"/>
      <c r="F357" s="738" t="e">
        <f>#REF!</f>
        <v>#REF!</v>
      </c>
      <c r="G357" s="738" t="e">
        <f>#REF!</f>
        <v>#REF!</v>
      </c>
      <c r="H357" s="738" t="e">
        <f>#REF!</f>
        <v>#REF!</v>
      </c>
      <c r="I357" s="739" t="e">
        <f t="shared" si="277"/>
        <v>#REF!</v>
      </c>
      <c r="J357" s="739" t="e">
        <f t="shared" si="278"/>
        <v>#REF!</v>
      </c>
      <c r="K357" s="740" t="e">
        <f t="shared" si="279"/>
        <v>#REF!</v>
      </c>
      <c r="L357" s="735" t="e">
        <f t="shared" si="235"/>
        <v>#REF!</v>
      </c>
      <c r="N357" s="741" t="e">
        <f t="shared" ref="N357" si="280">SUM(F357:H357)*1.278</f>
        <v>#REF!</v>
      </c>
      <c r="O357" s="741" t="e">
        <f t="shared" si="165"/>
        <v>#REF!</v>
      </c>
    </row>
    <row r="358" spans="1:15" s="298" customFormat="1" ht="17.100000000000001" hidden="1" customHeight="1">
      <c r="A358" s="736" t="e">
        <f t="shared" si="256"/>
        <v>#REF!</v>
      </c>
      <c r="B358" s="296" t="s">
        <v>22</v>
      </c>
      <c r="C358" s="296" t="s">
        <v>1838</v>
      </c>
      <c r="D358" s="297" t="s">
        <v>2</v>
      </c>
      <c r="E358" s="788"/>
      <c r="F358" s="738" t="e">
        <f>#REF!</f>
        <v>#REF!</v>
      </c>
      <c r="G358" s="738" t="e">
        <f>#REF!</f>
        <v>#REF!</v>
      </c>
      <c r="H358" s="738" t="e">
        <f>#REF!</f>
        <v>#REF!</v>
      </c>
      <c r="I358" s="739" t="e">
        <f t="shared" si="277"/>
        <v>#REF!</v>
      </c>
      <c r="J358" s="739" t="e">
        <f t="shared" si="278"/>
        <v>#REF!</v>
      </c>
      <c r="K358" s="740" t="e">
        <f t="shared" si="279"/>
        <v>#REF!</v>
      </c>
      <c r="L358" s="735" t="e">
        <f>IF(OR(SUM(I358:K358)&lt;&gt;0,B358="*"),$L$5,0)</f>
        <v>#REF!</v>
      </c>
      <c r="N358" s="741" t="e">
        <f>SUM(F358:H358)*1.278</f>
        <v>#REF!</v>
      </c>
      <c r="O358" s="741" t="e">
        <f t="shared" si="165"/>
        <v>#REF!</v>
      </c>
    </row>
    <row r="359" spans="1:15" s="298" customFormat="1" ht="17.100000000000001" hidden="1" customHeight="1">
      <c r="A359" s="736" t="e">
        <f t="shared" si="256"/>
        <v>#REF!</v>
      </c>
      <c r="B359" s="296" t="s">
        <v>43</v>
      </c>
      <c r="C359" s="296" t="s">
        <v>545</v>
      </c>
      <c r="D359" s="297" t="s">
        <v>9</v>
      </c>
      <c r="E359" s="788"/>
      <c r="F359" s="738" t="e">
        <f>#REF!</f>
        <v>#REF!</v>
      </c>
      <c r="G359" s="738" t="e">
        <f>#REF!</f>
        <v>#REF!</v>
      </c>
      <c r="H359" s="738"/>
      <c r="I359" s="739" t="e">
        <f t="shared" si="277"/>
        <v>#REF!</v>
      </c>
      <c r="J359" s="739" t="e">
        <f t="shared" si="278"/>
        <v>#REF!</v>
      </c>
      <c r="K359" s="740">
        <f t="shared" si="279"/>
        <v>0</v>
      </c>
      <c r="L359" s="735" t="e">
        <f t="shared" ref="L359" si="281">IF(OR(SUM(I359:K359)&lt;&gt;0,B359="*"),$L$5,0)</f>
        <v>#REF!</v>
      </c>
      <c r="N359" s="741" t="e">
        <f t="shared" ref="N359" si="282">SUM(F359:H359)*1.278</f>
        <v>#REF!</v>
      </c>
      <c r="O359" s="741" t="e">
        <f t="shared" si="165"/>
        <v>#REF!</v>
      </c>
    </row>
    <row r="360" spans="1:15" s="298" customFormat="1" ht="17.100000000000001" hidden="1" customHeight="1">
      <c r="A360" s="736" t="e">
        <f t="shared" si="256"/>
        <v>#REF!</v>
      </c>
      <c r="B360" s="296" t="s">
        <v>611</v>
      </c>
      <c r="C360" s="296" t="s">
        <v>1836</v>
      </c>
      <c r="D360" s="297" t="s">
        <v>2</v>
      </c>
      <c r="E360" s="788"/>
      <c r="F360" s="738"/>
      <c r="G360" s="738" t="e">
        <f>#REF!</f>
        <v>#REF!</v>
      </c>
      <c r="H360" s="738" t="e">
        <f>#REF!</f>
        <v>#REF!</v>
      </c>
      <c r="I360" s="739">
        <f t="shared" si="277"/>
        <v>0</v>
      </c>
      <c r="J360" s="739" t="e">
        <f t="shared" si="278"/>
        <v>#REF!</v>
      </c>
      <c r="K360" s="740" t="e">
        <f t="shared" si="279"/>
        <v>#REF!</v>
      </c>
      <c r="L360" s="735" t="e">
        <f t="shared" ref="L360" si="283">IF(OR(SUM(I360:K360)&lt;&gt;0,B360="*"),$L$5,0)</f>
        <v>#REF!</v>
      </c>
      <c r="N360" s="741" t="e">
        <f t="shared" ref="N360" si="284">SUM(F360:H360)*1.278</f>
        <v>#REF!</v>
      </c>
      <c r="O360" s="741" t="e">
        <f t="shared" si="165"/>
        <v>#REF!</v>
      </c>
    </row>
    <row r="361" spans="1:15" s="298" customFormat="1" ht="17.100000000000001" hidden="1" customHeight="1">
      <c r="A361" s="736" t="e">
        <f t="shared" si="256"/>
        <v>#REF!</v>
      </c>
      <c r="B361" s="296" t="s">
        <v>38</v>
      </c>
      <c r="C361" s="296" t="s">
        <v>85</v>
      </c>
      <c r="D361" s="297" t="s">
        <v>9</v>
      </c>
      <c r="E361" s="788"/>
      <c r="F361" s="738" t="e">
        <f>#REF!</f>
        <v>#REF!</v>
      </c>
      <c r="G361" s="738" t="e">
        <f>#REF!</f>
        <v>#REF!</v>
      </c>
      <c r="H361" s="738" t="e">
        <f>#REF!</f>
        <v>#REF!</v>
      </c>
      <c r="I361" s="739" t="e">
        <f t="shared" si="277"/>
        <v>#REF!</v>
      </c>
      <c r="J361" s="739" t="e">
        <f t="shared" si="278"/>
        <v>#REF!</v>
      </c>
      <c r="K361" s="740" t="e">
        <f t="shared" si="279"/>
        <v>#REF!</v>
      </c>
      <c r="L361" s="735" t="e">
        <f t="shared" si="235"/>
        <v>#REF!</v>
      </c>
      <c r="N361" s="741" t="e">
        <f t="shared" ref="N361:N365" si="285">SUM(F361:H361)*1.278</f>
        <v>#REF!</v>
      </c>
      <c r="O361" s="741" t="e">
        <f t="shared" si="165"/>
        <v>#REF!</v>
      </c>
    </row>
    <row r="362" spans="1:15" s="298" customFormat="1" ht="17.100000000000001" hidden="1" customHeight="1">
      <c r="A362" s="736" t="e">
        <f t="shared" si="256"/>
        <v>#REF!</v>
      </c>
      <c r="B362" s="296" t="s">
        <v>1554</v>
      </c>
      <c r="C362" s="296" t="s">
        <v>730</v>
      </c>
      <c r="D362" s="297" t="s">
        <v>2</v>
      </c>
      <c r="E362" s="788"/>
      <c r="F362" s="738" t="e">
        <f>#REF!</f>
        <v>#REF!</v>
      </c>
      <c r="G362" s="738" t="e">
        <f>#REF!</f>
        <v>#REF!</v>
      </c>
      <c r="H362" s="738" t="e">
        <f>#REF!</f>
        <v>#REF!</v>
      </c>
      <c r="I362" s="739" t="e">
        <f t="shared" si="277"/>
        <v>#REF!</v>
      </c>
      <c r="J362" s="739" t="e">
        <f t="shared" si="278"/>
        <v>#REF!</v>
      </c>
      <c r="K362" s="740" t="e">
        <f t="shared" si="279"/>
        <v>#REF!</v>
      </c>
      <c r="L362" s="735" t="e">
        <f t="shared" si="235"/>
        <v>#REF!</v>
      </c>
      <c r="N362" s="741" t="e">
        <f t="shared" si="285"/>
        <v>#REF!</v>
      </c>
      <c r="O362" s="741" t="e">
        <f t="shared" si="165"/>
        <v>#REF!</v>
      </c>
    </row>
    <row r="363" spans="1:15" s="298" customFormat="1" ht="17.100000000000001" hidden="1" customHeight="1">
      <c r="A363" s="736" t="e">
        <f t="shared" si="256"/>
        <v>#REF!</v>
      </c>
      <c r="B363" s="296" t="s">
        <v>1395</v>
      </c>
      <c r="C363" s="296" t="s">
        <v>731</v>
      </c>
      <c r="D363" s="297" t="s">
        <v>2</v>
      </c>
      <c r="E363" s="788"/>
      <c r="F363" s="738" t="e">
        <f>#REF!</f>
        <v>#REF!</v>
      </c>
      <c r="G363" s="738" t="e">
        <f>#REF!</f>
        <v>#REF!</v>
      </c>
      <c r="H363" s="738" t="e">
        <f>#REF!</f>
        <v>#REF!</v>
      </c>
      <c r="I363" s="739" t="e">
        <f t="shared" si="277"/>
        <v>#REF!</v>
      </c>
      <c r="J363" s="739" t="e">
        <f t="shared" si="278"/>
        <v>#REF!</v>
      </c>
      <c r="K363" s="740" t="e">
        <f t="shared" si="279"/>
        <v>#REF!</v>
      </c>
      <c r="L363" s="735" t="e">
        <f t="shared" si="235"/>
        <v>#REF!</v>
      </c>
      <c r="N363" s="741" t="e">
        <f t="shared" si="285"/>
        <v>#REF!</v>
      </c>
      <c r="O363" s="741" t="e">
        <f t="shared" si="165"/>
        <v>#REF!</v>
      </c>
    </row>
    <row r="364" spans="1:15" s="298" customFormat="1" ht="17.100000000000001" hidden="1" customHeight="1">
      <c r="A364" s="736" t="e">
        <f t="shared" si="256"/>
        <v>#REF!</v>
      </c>
      <c r="B364" s="296" t="s">
        <v>1567</v>
      </c>
      <c r="C364" s="296" t="s">
        <v>732</v>
      </c>
      <c r="D364" s="297" t="s">
        <v>2</v>
      </c>
      <c r="E364" s="788"/>
      <c r="F364" s="738" t="e">
        <f>#REF!</f>
        <v>#REF!</v>
      </c>
      <c r="G364" s="738" t="e">
        <f>#REF!</f>
        <v>#REF!</v>
      </c>
      <c r="H364" s="738" t="e">
        <f>#REF!</f>
        <v>#REF!</v>
      </c>
      <c r="I364" s="739" t="e">
        <f t="shared" si="277"/>
        <v>#REF!</v>
      </c>
      <c r="J364" s="739" t="e">
        <f t="shared" si="278"/>
        <v>#REF!</v>
      </c>
      <c r="K364" s="740" t="e">
        <f t="shared" si="279"/>
        <v>#REF!</v>
      </c>
      <c r="L364" s="735" t="e">
        <f t="shared" si="235"/>
        <v>#REF!</v>
      </c>
      <c r="N364" s="741" t="e">
        <f t="shared" si="285"/>
        <v>#REF!</v>
      </c>
      <c r="O364" s="741" t="e">
        <f t="shared" si="165"/>
        <v>#REF!</v>
      </c>
    </row>
    <row r="365" spans="1:15" s="298" customFormat="1" ht="17.100000000000001" hidden="1" customHeight="1">
      <c r="A365" s="736" t="e">
        <f t="shared" si="256"/>
        <v>#REF!</v>
      </c>
      <c r="B365" s="296" t="s">
        <v>84</v>
      </c>
      <c r="C365" s="296" t="s">
        <v>85</v>
      </c>
      <c r="D365" s="297" t="s">
        <v>9</v>
      </c>
      <c r="E365" s="788"/>
      <c r="F365" s="738" t="e">
        <f>#REF!</f>
        <v>#REF!</v>
      </c>
      <c r="G365" s="738" t="e">
        <f>#REF!</f>
        <v>#REF!</v>
      </c>
      <c r="H365" s="738" t="e">
        <f>#REF!</f>
        <v>#REF!</v>
      </c>
      <c r="I365" s="739" t="e">
        <f t="shared" si="277"/>
        <v>#REF!</v>
      </c>
      <c r="J365" s="739" t="e">
        <f t="shared" si="278"/>
        <v>#REF!</v>
      </c>
      <c r="K365" s="740" t="e">
        <f t="shared" si="279"/>
        <v>#REF!</v>
      </c>
      <c r="L365" s="735" t="e">
        <f t="shared" si="235"/>
        <v>#REF!</v>
      </c>
      <c r="N365" s="741" t="e">
        <f t="shared" si="285"/>
        <v>#REF!</v>
      </c>
      <c r="O365" s="741" t="e">
        <f t="shared" si="165"/>
        <v>#REF!</v>
      </c>
    </row>
    <row r="366" spans="1:15" s="298" customFormat="1" ht="17.100000000000001" hidden="1" customHeight="1">
      <c r="A366" s="736" t="e">
        <f t="shared" si="256"/>
        <v>#REF!</v>
      </c>
      <c r="B366" s="296"/>
      <c r="C366" s="737" t="s">
        <v>581</v>
      </c>
      <c r="D366" s="297" t="s">
        <v>0</v>
      </c>
      <c r="E366" s="788"/>
      <c r="F366" s="738"/>
      <c r="G366" s="738"/>
      <c r="H366" s="738"/>
      <c r="I366" s="739">
        <f t="shared" si="277"/>
        <v>0</v>
      </c>
      <c r="J366" s="739">
        <f t="shared" si="278"/>
        <v>0</v>
      </c>
      <c r="K366" s="740">
        <f t="shared" si="279"/>
        <v>0</v>
      </c>
      <c r="L366" s="735">
        <f t="shared" si="235"/>
        <v>0</v>
      </c>
      <c r="N366" s="741">
        <f t="shared" si="164"/>
        <v>0</v>
      </c>
      <c r="O366" s="741">
        <f t="shared" si="165"/>
        <v>0</v>
      </c>
    </row>
    <row r="367" spans="1:15" s="298" customFormat="1" ht="17.100000000000001" hidden="1" customHeight="1">
      <c r="A367" s="736" t="e">
        <f t="shared" si="256"/>
        <v>#REF!</v>
      </c>
      <c r="B367" s="296"/>
      <c r="C367" s="737" t="s">
        <v>1880</v>
      </c>
      <c r="D367" s="297" t="s">
        <v>0</v>
      </c>
      <c r="E367" s="788"/>
      <c r="F367" s="738"/>
      <c r="G367" s="738"/>
      <c r="H367" s="738"/>
      <c r="I367" s="739">
        <f t="shared" ref="I367" si="286">E367*F367</f>
        <v>0</v>
      </c>
      <c r="J367" s="739">
        <f t="shared" ref="J367" si="287">E367*G367</f>
        <v>0</v>
      </c>
      <c r="K367" s="740">
        <f t="shared" ref="K367" si="288">E367*H367</f>
        <v>0</v>
      </c>
      <c r="L367" s="735">
        <f t="shared" ref="L367" si="289">IF(OR(SUM(I367:K367)&lt;&gt;0,B367="*"),$L$5,0)</f>
        <v>0</v>
      </c>
      <c r="N367" s="741">
        <f t="shared" ref="N367" si="290">SUM(F367:H367)*1.278</f>
        <v>0</v>
      </c>
      <c r="O367" s="741">
        <f t="shared" ref="O367" si="291">N367*E367</f>
        <v>0</v>
      </c>
    </row>
    <row r="368" spans="1:15" s="298" customFormat="1" ht="17.100000000000001" hidden="1" customHeight="1">
      <c r="A368" s="736" t="e">
        <f t="shared" si="256"/>
        <v>#REF!</v>
      </c>
      <c r="B368" s="296" t="s">
        <v>1522</v>
      </c>
      <c r="C368" s="296" t="s">
        <v>1833</v>
      </c>
      <c r="D368" s="297" t="s">
        <v>2</v>
      </c>
      <c r="E368" s="788"/>
      <c r="F368" s="738" t="e">
        <f>#REF!</f>
        <v>#REF!</v>
      </c>
      <c r="G368" s="738" t="e">
        <f>#REF!</f>
        <v>#REF!</v>
      </c>
      <c r="H368" s="738" t="e">
        <f>#REF!</f>
        <v>#REF!</v>
      </c>
      <c r="I368" s="739" t="e">
        <f t="shared" ref="I368:I393" si="292">E368*F368</f>
        <v>#REF!</v>
      </c>
      <c r="J368" s="739" t="e">
        <f t="shared" ref="J368:J393" si="293">E368*G368</f>
        <v>#REF!</v>
      </c>
      <c r="K368" s="740" t="e">
        <f t="shared" ref="K368:K413" si="294">E368*H368</f>
        <v>#REF!</v>
      </c>
      <c r="L368" s="735" t="e">
        <f t="shared" si="235"/>
        <v>#REF!</v>
      </c>
      <c r="N368" s="741" t="e">
        <f t="shared" si="164"/>
        <v>#REF!</v>
      </c>
      <c r="O368" s="741" t="e">
        <f t="shared" si="165"/>
        <v>#REF!</v>
      </c>
    </row>
    <row r="369" spans="1:15" s="298" customFormat="1" ht="17.100000000000001" hidden="1" customHeight="1">
      <c r="A369" s="736" t="e">
        <f t="shared" si="256"/>
        <v>#REF!</v>
      </c>
      <c r="B369" s="296" t="s">
        <v>1572</v>
      </c>
      <c r="C369" s="296" t="s">
        <v>1837</v>
      </c>
      <c r="D369" s="297" t="s">
        <v>2</v>
      </c>
      <c r="E369" s="788"/>
      <c r="F369" s="738" t="e">
        <f>#REF!</f>
        <v>#REF!</v>
      </c>
      <c r="G369" s="738" t="e">
        <f>#REF!</f>
        <v>#REF!</v>
      </c>
      <c r="H369" s="738" t="e">
        <f>#REF!</f>
        <v>#REF!</v>
      </c>
      <c r="I369" s="739" t="e">
        <f t="shared" si="292"/>
        <v>#REF!</v>
      </c>
      <c r="J369" s="739" t="e">
        <f t="shared" si="293"/>
        <v>#REF!</v>
      </c>
      <c r="K369" s="740" t="e">
        <f t="shared" si="294"/>
        <v>#REF!</v>
      </c>
      <c r="L369" s="735" t="e">
        <f t="shared" ref="L369" si="295">IF(OR(SUM(I369:K369)&lt;&gt;0,B369="*"),$L$5,0)</f>
        <v>#REF!</v>
      </c>
      <c r="N369" s="741" t="e">
        <f t="shared" ref="N369" si="296">SUM(F369:H369)*1.278</f>
        <v>#REF!</v>
      </c>
      <c r="O369" s="741" t="e">
        <f t="shared" si="165"/>
        <v>#REF!</v>
      </c>
    </row>
    <row r="370" spans="1:15" s="298" customFormat="1" ht="17.100000000000001" hidden="1" customHeight="1">
      <c r="A370" s="736" t="e">
        <f t="shared" si="256"/>
        <v>#REF!</v>
      </c>
      <c r="B370" s="296" t="s">
        <v>32</v>
      </c>
      <c r="C370" s="296" t="s">
        <v>33</v>
      </c>
      <c r="D370" s="297" t="s">
        <v>34</v>
      </c>
      <c r="E370" s="788"/>
      <c r="F370" s="738" t="e">
        <f>#REF!</f>
        <v>#REF!</v>
      </c>
      <c r="G370" s="738"/>
      <c r="H370" s="738"/>
      <c r="I370" s="739" t="e">
        <f t="shared" si="292"/>
        <v>#REF!</v>
      </c>
      <c r="J370" s="739">
        <f t="shared" si="293"/>
        <v>0</v>
      </c>
      <c r="K370" s="740">
        <f t="shared" si="294"/>
        <v>0</v>
      </c>
      <c r="L370" s="735" t="e">
        <f t="shared" si="235"/>
        <v>#REF!</v>
      </c>
      <c r="N370" s="741" t="e">
        <f t="shared" si="164"/>
        <v>#REF!</v>
      </c>
      <c r="O370" s="741" t="e">
        <f t="shared" si="165"/>
        <v>#REF!</v>
      </c>
    </row>
    <row r="371" spans="1:15" s="298" customFormat="1" ht="17.100000000000001" hidden="1" customHeight="1">
      <c r="A371" s="736" t="e">
        <f t="shared" si="256"/>
        <v>#REF!</v>
      </c>
      <c r="B371" s="296" t="s">
        <v>38</v>
      </c>
      <c r="C371" s="296" t="s">
        <v>764</v>
      </c>
      <c r="D371" s="297" t="s">
        <v>9</v>
      </c>
      <c r="E371" s="788"/>
      <c r="F371" s="738" t="e">
        <f>#REF!</f>
        <v>#REF!</v>
      </c>
      <c r="G371" s="738" t="e">
        <f>#REF!</f>
        <v>#REF!</v>
      </c>
      <c r="H371" s="738" t="e">
        <f>#REF!</f>
        <v>#REF!</v>
      </c>
      <c r="I371" s="739" t="e">
        <f t="shared" si="292"/>
        <v>#REF!</v>
      </c>
      <c r="J371" s="739" t="e">
        <f t="shared" si="293"/>
        <v>#REF!</v>
      </c>
      <c r="K371" s="740" t="e">
        <f t="shared" si="294"/>
        <v>#REF!</v>
      </c>
      <c r="L371" s="735" t="e">
        <f t="shared" si="235"/>
        <v>#REF!</v>
      </c>
      <c r="N371" s="741" t="e">
        <f t="shared" si="164"/>
        <v>#REF!</v>
      </c>
      <c r="O371" s="741" t="e">
        <f t="shared" si="165"/>
        <v>#REF!</v>
      </c>
    </row>
    <row r="372" spans="1:15" s="298" customFormat="1" ht="17.100000000000001" hidden="1" customHeight="1">
      <c r="A372" s="736" t="e">
        <f t="shared" si="256"/>
        <v>#REF!</v>
      </c>
      <c r="B372" s="296" t="s">
        <v>62</v>
      </c>
      <c r="C372" s="296" t="s">
        <v>1834</v>
      </c>
      <c r="D372" s="297" t="s">
        <v>59</v>
      </c>
      <c r="E372" s="788"/>
      <c r="F372" s="738" t="e">
        <f>#REF!</f>
        <v>#REF!</v>
      </c>
      <c r="G372" s="738" t="e">
        <f>#REF!</f>
        <v>#REF!</v>
      </c>
      <c r="H372" s="738" t="e">
        <f>#REF!</f>
        <v>#REF!</v>
      </c>
      <c r="I372" s="739" t="e">
        <f t="shared" si="292"/>
        <v>#REF!</v>
      </c>
      <c r="J372" s="739" t="e">
        <f t="shared" si="293"/>
        <v>#REF!</v>
      </c>
      <c r="K372" s="740" t="e">
        <f t="shared" si="294"/>
        <v>#REF!</v>
      </c>
      <c r="L372" s="735" t="e">
        <f t="shared" si="235"/>
        <v>#REF!</v>
      </c>
      <c r="N372" s="741" t="e">
        <f t="shared" si="164"/>
        <v>#REF!</v>
      </c>
      <c r="O372" s="741" t="e">
        <f t="shared" si="165"/>
        <v>#REF!</v>
      </c>
    </row>
    <row r="373" spans="1:15" s="298" customFormat="1" ht="17.100000000000001" hidden="1" customHeight="1">
      <c r="A373" s="736" t="e">
        <f t="shared" si="256"/>
        <v>#REF!</v>
      </c>
      <c r="B373" s="296" t="s">
        <v>663</v>
      </c>
      <c r="C373" s="296" t="s">
        <v>765</v>
      </c>
      <c r="D373" s="297" t="s">
        <v>59</v>
      </c>
      <c r="E373" s="788"/>
      <c r="F373" s="738" t="e">
        <f>#REF!</f>
        <v>#REF!</v>
      </c>
      <c r="G373" s="738" t="e">
        <f>#REF!</f>
        <v>#REF!</v>
      </c>
      <c r="H373" s="738" t="e">
        <f>#REF!</f>
        <v>#REF!</v>
      </c>
      <c r="I373" s="739" t="e">
        <f t="shared" si="292"/>
        <v>#REF!</v>
      </c>
      <c r="J373" s="739" t="e">
        <f t="shared" si="293"/>
        <v>#REF!</v>
      </c>
      <c r="K373" s="740" t="e">
        <f t="shared" si="294"/>
        <v>#REF!</v>
      </c>
      <c r="L373" s="735" t="e">
        <f t="shared" si="235"/>
        <v>#REF!</v>
      </c>
      <c r="N373" s="741" t="e">
        <f t="shared" si="164"/>
        <v>#REF!</v>
      </c>
      <c r="O373" s="741" t="e">
        <f t="shared" si="165"/>
        <v>#REF!</v>
      </c>
    </row>
    <row r="374" spans="1:15" s="298" customFormat="1" ht="17.100000000000001" hidden="1" customHeight="1">
      <c r="A374" s="736" t="e">
        <f t="shared" si="256"/>
        <v>#REF!</v>
      </c>
      <c r="B374" s="296" t="s">
        <v>766</v>
      </c>
      <c r="C374" s="296" t="s">
        <v>767</v>
      </c>
      <c r="D374" s="297" t="s">
        <v>59</v>
      </c>
      <c r="E374" s="788"/>
      <c r="F374" s="738" t="e">
        <f>#REF!</f>
        <v>#REF!</v>
      </c>
      <c r="G374" s="738" t="e">
        <f>#REF!</f>
        <v>#REF!</v>
      </c>
      <c r="H374" s="738" t="e">
        <f>#REF!</f>
        <v>#REF!</v>
      </c>
      <c r="I374" s="739" t="e">
        <f t="shared" si="292"/>
        <v>#REF!</v>
      </c>
      <c r="J374" s="739" t="e">
        <f t="shared" si="293"/>
        <v>#REF!</v>
      </c>
      <c r="K374" s="740" t="e">
        <f t="shared" si="294"/>
        <v>#REF!</v>
      </c>
      <c r="L374" s="735" t="e">
        <f t="shared" si="235"/>
        <v>#REF!</v>
      </c>
      <c r="N374" s="741" t="e">
        <f t="shared" si="164"/>
        <v>#REF!</v>
      </c>
      <c r="O374" s="741" t="e">
        <f t="shared" si="165"/>
        <v>#REF!</v>
      </c>
    </row>
    <row r="375" spans="1:15" s="298" customFormat="1" ht="17.100000000000001" hidden="1" customHeight="1">
      <c r="A375" s="736" t="e">
        <f t="shared" si="256"/>
        <v>#REF!</v>
      </c>
      <c r="B375" s="296" t="s">
        <v>768</v>
      </c>
      <c r="C375" s="296" t="s">
        <v>769</v>
      </c>
      <c r="D375" s="297" t="s">
        <v>9</v>
      </c>
      <c r="E375" s="788"/>
      <c r="F375" s="738" t="e">
        <f>#REF!</f>
        <v>#REF!</v>
      </c>
      <c r="G375" s="738" t="e">
        <f>#REF!</f>
        <v>#REF!</v>
      </c>
      <c r="H375" s="738"/>
      <c r="I375" s="739" t="e">
        <f t="shared" si="292"/>
        <v>#REF!</v>
      </c>
      <c r="J375" s="739" t="e">
        <f t="shared" si="293"/>
        <v>#REF!</v>
      </c>
      <c r="K375" s="740">
        <f t="shared" si="294"/>
        <v>0</v>
      </c>
      <c r="L375" s="735" t="e">
        <f t="shared" si="235"/>
        <v>#REF!</v>
      </c>
      <c r="N375" s="741" t="e">
        <f t="shared" si="164"/>
        <v>#REF!</v>
      </c>
      <c r="O375" s="741" t="e">
        <f t="shared" si="165"/>
        <v>#REF!</v>
      </c>
    </row>
    <row r="376" spans="1:15" s="298" customFormat="1" ht="17.100000000000001" hidden="1" customHeight="1">
      <c r="A376" s="736" t="e">
        <f t="shared" si="256"/>
        <v>#REF!</v>
      </c>
      <c r="B376" s="296"/>
      <c r="C376" s="737" t="s">
        <v>1881</v>
      </c>
      <c r="D376" s="297"/>
      <c r="E376" s="788"/>
      <c r="F376" s="738"/>
      <c r="G376" s="738"/>
      <c r="H376" s="738"/>
      <c r="I376" s="739">
        <f t="shared" si="292"/>
        <v>0</v>
      </c>
      <c r="J376" s="739">
        <f t="shared" si="293"/>
        <v>0</v>
      </c>
      <c r="K376" s="740">
        <f t="shared" si="294"/>
        <v>0</v>
      </c>
      <c r="L376" s="735">
        <f t="shared" si="235"/>
        <v>0</v>
      </c>
      <c r="N376" s="741">
        <f t="shared" si="164"/>
        <v>0</v>
      </c>
      <c r="O376" s="741">
        <f t="shared" si="165"/>
        <v>0</v>
      </c>
    </row>
    <row r="377" spans="1:15" s="298" customFormat="1" ht="17.100000000000001" hidden="1" customHeight="1">
      <c r="A377" s="736" t="e">
        <f t="shared" si="256"/>
        <v>#REF!</v>
      </c>
      <c r="B377" s="296" t="s">
        <v>1522</v>
      </c>
      <c r="C377" s="296" t="s">
        <v>1833</v>
      </c>
      <c r="D377" s="297" t="s">
        <v>2</v>
      </c>
      <c r="E377" s="788"/>
      <c r="F377" s="738" t="e">
        <f>#REF!</f>
        <v>#REF!</v>
      </c>
      <c r="G377" s="738" t="e">
        <f>#REF!</f>
        <v>#REF!</v>
      </c>
      <c r="H377" s="738" t="e">
        <f>#REF!</f>
        <v>#REF!</v>
      </c>
      <c r="I377" s="739" t="e">
        <f t="shared" ref="I377:I385" si="297">E377*F377</f>
        <v>#REF!</v>
      </c>
      <c r="J377" s="739" t="e">
        <f t="shared" ref="J377:J385" si="298">E377*G377</f>
        <v>#REF!</v>
      </c>
      <c r="K377" s="740" t="e">
        <f t="shared" ref="K377:K385" si="299">E377*H377</f>
        <v>#REF!</v>
      </c>
      <c r="L377" s="735" t="e">
        <f t="shared" ref="L377:L385" si="300">IF(OR(SUM(I377:K377)&lt;&gt;0,B377="*"),$L$5,0)</f>
        <v>#REF!</v>
      </c>
      <c r="N377" s="741" t="e">
        <f t="shared" ref="N377" si="301">SUM(F377:H377)*1.278</f>
        <v>#REF!</v>
      </c>
      <c r="O377" s="741" t="e">
        <f t="shared" ref="O377:O385" si="302">N377*E377</f>
        <v>#REF!</v>
      </c>
    </row>
    <row r="378" spans="1:15" s="298" customFormat="1" ht="17.100000000000001" hidden="1" customHeight="1">
      <c r="A378" s="736" t="e">
        <f t="shared" si="256"/>
        <v>#REF!</v>
      </c>
      <c r="B378" s="296" t="s">
        <v>1572</v>
      </c>
      <c r="C378" s="296" t="s">
        <v>1882</v>
      </c>
      <c r="D378" s="297" t="s">
        <v>2</v>
      </c>
      <c r="E378" s="788"/>
      <c r="F378" s="738" t="e">
        <f>#REF!</f>
        <v>#REF!</v>
      </c>
      <c r="G378" s="738" t="e">
        <f>#REF!</f>
        <v>#REF!</v>
      </c>
      <c r="H378" s="738" t="e">
        <f>#REF!</f>
        <v>#REF!</v>
      </c>
      <c r="I378" s="739" t="e">
        <f t="shared" si="297"/>
        <v>#REF!</v>
      </c>
      <c r="J378" s="739" t="e">
        <f t="shared" si="298"/>
        <v>#REF!</v>
      </c>
      <c r="K378" s="740" t="e">
        <f t="shared" si="299"/>
        <v>#REF!</v>
      </c>
      <c r="L378" s="735" t="e">
        <f t="shared" si="300"/>
        <v>#REF!</v>
      </c>
      <c r="N378" s="741" t="e">
        <f t="shared" ref="N378" si="303">SUM(F378:H378)*1.278</f>
        <v>#REF!</v>
      </c>
      <c r="O378" s="741" t="e">
        <f t="shared" si="302"/>
        <v>#REF!</v>
      </c>
    </row>
    <row r="379" spans="1:15" s="298" customFormat="1" ht="17.100000000000001" hidden="1" customHeight="1">
      <c r="A379" s="736" t="e">
        <f t="shared" si="256"/>
        <v>#REF!</v>
      </c>
      <c r="B379" s="296" t="s">
        <v>32</v>
      </c>
      <c r="C379" s="296" t="s">
        <v>33</v>
      </c>
      <c r="D379" s="297" t="s">
        <v>34</v>
      </c>
      <c r="E379" s="788"/>
      <c r="F379" s="738" t="e">
        <f>#REF!</f>
        <v>#REF!</v>
      </c>
      <c r="G379" s="738"/>
      <c r="H379" s="738"/>
      <c r="I379" s="739" t="e">
        <f t="shared" si="297"/>
        <v>#REF!</v>
      </c>
      <c r="J379" s="739">
        <f t="shared" si="298"/>
        <v>0</v>
      </c>
      <c r="K379" s="740">
        <f t="shared" si="299"/>
        <v>0</v>
      </c>
      <c r="L379" s="735" t="e">
        <f t="shared" si="300"/>
        <v>#REF!</v>
      </c>
      <c r="N379" s="741" t="e">
        <f t="shared" ref="N379:N385" si="304">SUM(F379:H379)*1.278</f>
        <v>#REF!</v>
      </c>
      <c r="O379" s="741" t="e">
        <f t="shared" si="302"/>
        <v>#REF!</v>
      </c>
    </row>
    <row r="380" spans="1:15" s="298" customFormat="1" ht="17.100000000000001" hidden="1" customHeight="1">
      <c r="A380" s="736" t="e">
        <f t="shared" si="256"/>
        <v>#REF!</v>
      </c>
      <c r="B380" s="296" t="s">
        <v>38</v>
      </c>
      <c r="C380" s="296" t="s">
        <v>764</v>
      </c>
      <c r="D380" s="297" t="s">
        <v>9</v>
      </c>
      <c r="E380" s="788"/>
      <c r="F380" s="738" t="e">
        <f>#REF!</f>
        <v>#REF!</v>
      </c>
      <c r="G380" s="738" t="e">
        <f>#REF!</f>
        <v>#REF!</v>
      </c>
      <c r="H380" s="738" t="e">
        <f>#REF!</f>
        <v>#REF!</v>
      </c>
      <c r="I380" s="739" t="e">
        <f t="shared" si="297"/>
        <v>#REF!</v>
      </c>
      <c r="J380" s="739" t="e">
        <f t="shared" si="298"/>
        <v>#REF!</v>
      </c>
      <c r="K380" s="740" t="e">
        <f t="shared" si="299"/>
        <v>#REF!</v>
      </c>
      <c r="L380" s="735" t="e">
        <f t="shared" si="300"/>
        <v>#REF!</v>
      </c>
      <c r="N380" s="741" t="e">
        <f t="shared" si="304"/>
        <v>#REF!</v>
      </c>
      <c r="O380" s="741" t="e">
        <f t="shared" si="302"/>
        <v>#REF!</v>
      </c>
    </row>
    <row r="381" spans="1:15" s="298" customFormat="1" ht="17.100000000000001" hidden="1" customHeight="1">
      <c r="A381" s="736" t="e">
        <f t="shared" si="256"/>
        <v>#REF!</v>
      </c>
      <c r="B381" s="296" t="s">
        <v>62</v>
      </c>
      <c r="C381" s="296" t="s">
        <v>1883</v>
      </c>
      <c r="D381" s="297" t="s">
        <v>59</v>
      </c>
      <c r="E381" s="788"/>
      <c r="F381" s="738" t="e">
        <f>#REF!</f>
        <v>#REF!</v>
      </c>
      <c r="G381" s="738" t="e">
        <f>#REF!</f>
        <v>#REF!</v>
      </c>
      <c r="H381" s="738" t="e">
        <f>#REF!</f>
        <v>#REF!</v>
      </c>
      <c r="I381" s="739" t="e">
        <f t="shared" si="297"/>
        <v>#REF!</v>
      </c>
      <c r="J381" s="739" t="e">
        <f t="shared" si="298"/>
        <v>#REF!</v>
      </c>
      <c r="K381" s="740" t="e">
        <f t="shared" si="299"/>
        <v>#REF!</v>
      </c>
      <c r="L381" s="735" t="e">
        <f t="shared" si="300"/>
        <v>#REF!</v>
      </c>
      <c r="N381" s="741" t="e">
        <f t="shared" si="304"/>
        <v>#REF!</v>
      </c>
      <c r="O381" s="741" t="e">
        <f t="shared" si="302"/>
        <v>#REF!</v>
      </c>
    </row>
    <row r="382" spans="1:15" s="298" customFormat="1" ht="17.100000000000001" hidden="1" customHeight="1">
      <c r="A382" s="736" t="e">
        <f t="shared" si="256"/>
        <v>#REF!</v>
      </c>
      <c r="B382" s="296" t="s">
        <v>663</v>
      </c>
      <c r="C382" s="296" t="s">
        <v>1884</v>
      </c>
      <c r="D382" s="297" t="s">
        <v>59</v>
      </c>
      <c r="E382" s="788"/>
      <c r="F382" s="738" t="e">
        <f>#REF!</f>
        <v>#REF!</v>
      </c>
      <c r="G382" s="738" t="e">
        <f>#REF!</f>
        <v>#REF!</v>
      </c>
      <c r="H382" s="738" t="e">
        <f>#REF!</f>
        <v>#REF!</v>
      </c>
      <c r="I382" s="739" t="e">
        <f t="shared" si="297"/>
        <v>#REF!</v>
      </c>
      <c r="J382" s="739" t="e">
        <f t="shared" si="298"/>
        <v>#REF!</v>
      </c>
      <c r="K382" s="740" t="e">
        <f t="shared" si="299"/>
        <v>#REF!</v>
      </c>
      <c r="L382" s="735" t="e">
        <f t="shared" si="300"/>
        <v>#REF!</v>
      </c>
      <c r="N382" s="741" t="e">
        <f t="shared" si="304"/>
        <v>#REF!</v>
      </c>
      <c r="O382" s="741" t="e">
        <f t="shared" si="302"/>
        <v>#REF!</v>
      </c>
    </row>
    <row r="383" spans="1:15" s="298" customFormat="1" ht="17.100000000000001" hidden="1" customHeight="1">
      <c r="A383" s="736" t="e">
        <f t="shared" si="256"/>
        <v>#REF!</v>
      </c>
      <c r="B383" s="296" t="s">
        <v>766</v>
      </c>
      <c r="C383" s="296" t="s">
        <v>767</v>
      </c>
      <c r="D383" s="297" t="s">
        <v>59</v>
      </c>
      <c r="E383" s="788"/>
      <c r="F383" s="738" t="e">
        <f>#REF!</f>
        <v>#REF!</v>
      </c>
      <c r="G383" s="738" t="e">
        <f>#REF!</f>
        <v>#REF!</v>
      </c>
      <c r="H383" s="738" t="e">
        <f>#REF!</f>
        <v>#REF!</v>
      </c>
      <c r="I383" s="739" t="e">
        <f t="shared" si="297"/>
        <v>#REF!</v>
      </c>
      <c r="J383" s="739" t="e">
        <f t="shared" si="298"/>
        <v>#REF!</v>
      </c>
      <c r="K383" s="740" t="e">
        <f t="shared" si="299"/>
        <v>#REF!</v>
      </c>
      <c r="L383" s="735" t="e">
        <f t="shared" si="300"/>
        <v>#REF!</v>
      </c>
      <c r="N383" s="741" t="e">
        <f t="shared" si="304"/>
        <v>#REF!</v>
      </c>
      <c r="O383" s="741" t="e">
        <f t="shared" si="302"/>
        <v>#REF!</v>
      </c>
    </row>
    <row r="384" spans="1:15" s="298" customFormat="1" ht="17.100000000000001" hidden="1" customHeight="1">
      <c r="A384" s="736" t="e">
        <f t="shared" si="256"/>
        <v>#REF!</v>
      </c>
      <c r="B384" s="296" t="s">
        <v>768</v>
      </c>
      <c r="C384" s="296" t="s">
        <v>1885</v>
      </c>
      <c r="D384" s="297" t="s">
        <v>9</v>
      </c>
      <c r="E384" s="788"/>
      <c r="F384" s="738" t="e">
        <f>#REF!</f>
        <v>#REF!</v>
      </c>
      <c r="G384" s="738" t="e">
        <f>#REF!</f>
        <v>#REF!</v>
      </c>
      <c r="H384" s="738"/>
      <c r="I384" s="739" t="e">
        <f t="shared" si="297"/>
        <v>#REF!</v>
      </c>
      <c r="J384" s="739" t="e">
        <f t="shared" si="298"/>
        <v>#REF!</v>
      </c>
      <c r="K384" s="740">
        <f t="shared" si="299"/>
        <v>0</v>
      </c>
      <c r="L384" s="735" t="e">
        <f t="shared" si="300"/>
        <v>#REF!</v>
      </c>
      <c r="N384" s="741" t="e">
        <f t="shared" si="304"/>
        <v>#REF!</v>
      </c>
      <c r="O384" s="741" t="e">
        <f t="shared" si="302"/>
        <v>#REF!</v>
      </c>
    </row>
    <row r="385" spans="1:15" s="298" customFormat="1" ht="17.100000000000001" hidden="1" customHeight="1">
      <c r="A385" s="736" t="e">
        <f t="shared" si="256"/>
        <v>#REF!</v>
      </c>
      <c r="B385" s="296" t="s">
        <v>770</v>
      </c>
      <c r="C385" s="296" t="s">
        <v>771</v>
      </c>
      <c r="D385" s="297" t="s">
        <v>772</v>
      </c>
      <c r="E385" s="788"/>
      <c r="F385" s="738" t="e">
        <f>#REF!</f>
        <v>#REF!</v>
      </c>
      <c r="G385" s="738" t="e">
        <f>#REF!</f>
        <v>#REF!</v>
      </c>
      <c r="H385" s="738" t="e">
        <f>#REF!</f>
        <v>#REF!</v>
      </c>
      <c r="I385" s="739" t="e">
        <f t="shared" si="297"/>
        <v>#REF!</v>
      </c>
      <c r="J385" s="739" t="e">
        <f t="shared" si="298"/>
        <v>#REF!</v>
      </c>
      <c r="K385" s="740" t="e">
        <f t="shared" si="299"/>
        <v>#REF!</v>
      </c>
      <c r="L385" s="735" t="e">
        <f t="shared" si="300"/>
        <v>#REF!</v>
      </c>
      <c r="N385" s="741" t="e">
        <f t="shared" si="304"/>
        <v>#REF!</v>
      </c>
      <c r="O385" s="741" t="e">
        <f t="shared" si="302"/>
        <v>#REF!</v>
      </c>
    </row>
    <row r="386" spans="1:15" s="298" customFormat="1" ht="17.100000000000001" hidden="1" customHeight="1">
      <c r="A386" s="736" t="e">
        <f t="shared" si="256"/>
        <v>#REF!</v>
      </c>
      <c r="B386" s="744" t="s">
        <v>1886</v>
      </c>
      <c r="C386" s="744" t="s">
        <v>1887</v>
      </c>
      <c r="D386" s="745" t="s">
        <v>772</v>
      </c>
      <c r="E386" s="820"/>
      <c r="F386" s="746" t="e">
        <f>#REF!</f>
        <v>#REF!</v>
      </c>
      <c r="G386" s="746" t="e">
        <f>#REF!</f>
        <v>#REF!</v>
      </c>
      <c r="H386" s="746" t="e">
        <f>#REF!</f>
        <v>#REF!</v>
      </c>
      <c r="I386" s="747" t="e">
        <f t="shared" si="292"/>
        <v>#REF!</v>
      </c>
      <c r="J386" s="747" t="e">
        <f t="shared" si="293"/>
        <v>#REF!</v>
      </c>
      <c r="K386" s="748" t="e">
        <f t="shared" si="294"/>
        <v>#REF!</v>
      </c>
      <c r="L386" s="735" t="e">
        <f t="shared" si="235"/>
        <v>#REF!</v>
      </c>
      <c r="N386" s="741" t="e">
        <f t="shared" si="164"/>
        <v>#REF!</v>
      </c>
      <c r="O386" s="741" t="e">
        <f t="shared" si="165"/>
        <v>#REF!</v>
      </c>
    </row>
    <row r="387" spans="1:15" s="298" customFormat="1" ht="17.100000000000001" hidden="1" customHeight="1">
      <c r="A387" s="736" t="e">
        <f t="shared" si="256"/>
        <v>#REF!</v>
      </c>
      <c r="B387" s="730"/>
      <c r="C387" s="730" t="s">
        <v>1927</v>
      </c>
      <c r="D387" s="731" t="s">
        <v>0</v>
      </c>
      <c r="E387" s="819"/>
      <c r="F387" s="732"/>
      <c r="G387" s="732"/>
      <c r="H387" s="732"/>
      <c r="I387" s="733" t="e">
        <f>SUM(I388:I421)</f>
        <v>#REF!</v>
      </c>
      <c r="J387" s="733" t="e">
        <f>SUM(J388:J421)</f>
        <v>#REF!</v>
      </c>
      <c r="K387" s="734" t="e">
        <f>SUM(K388:K421)</f>
        <v>#REF!</v>
      </c>
      <c r="L387" s="735" t="e">
        <f t="shared" ref="L387" si="305">IF(OR(SUM(I387:K387)&lt;&gt;0,B387="*"),$L$5,0)</f>
        <v>#REF!</v>
      </c>
      <c r="N387" s="741">
        <f t="shared" ref="N387" si="306">SUM(F387:H387)*1.278</f>
        <v>0</v>
      </c>
      <c r="O387" s="734" t="e">
        <f>SUM(O389:O647)</f>
        <v>#REF!</v>
      </c>
    </row>
    <row r="388" spans="1:15" s="298" customFormat="1" ht="17.100000000000001" hidden="1" customHeight="1">
      <c r="A388" s="736" t="e">
        <f t="shared" si="256"/>
        <v>#REF!</v>
      </c>
      <c r="B388" s="296"/>
      <c r="C388" s="737" t="s">
        <v>1890</v>
      </c>
      <c r="D388" s="297"/>
      <c r="E388" s="788"/>
      <c r="F388" s="738"/>
      <c r="G388" s="738"/>
      <c r="H388" s="738"/>
      <c r="I388" s="739">
        <f t="shared" si="292"/>
        <v>0</v>
      </c>
      <c r="J388" s="739">
        <f t="shared" si="293"/>
        <v>0</v>
      </c>
      <c r="K388" s="740">
        <f t="shared" si="294"/>
        <v>0</v>
      </c>
      <c r="L388" s="735">
        <f t="shared" si="235"/>
        <v>0</v>
      </c>
      <c r="N388" s="741">
        <f t="shared" ref="N388:N525" si="307">SUM(F388:H388)*1.278</f>
        <v>0</v>
      </c>
      <c r="O388" s="741">
        <f t="shared" ref="O388:O527" si="308">N388*E388</f>
        <v>0</v>
      </c>
    </row>
    <row r="389" spans="1:15" s="298" customFormat="1" ht="17.100000000000001" hidden="1" customHeight="1">
      <c r="A389" s="736" t="e">
        <f t="shared" si="256"/>
        <v>#REF!</v>
      </c>
      <c r="B389" s="296" t="s">
        <v>1402</v>
      </c>
      <c r="C389" s="296" t="s">
        <v>1524</v>
      </c>
      <c r="D389" s="297" t="s">
        <v>2</v>
      </c>
      <c r="E389" s="788"/>
      <c r="F389" s="738" t="e">
        <f>#REF!</f>
        <v>#REF!</v>
      </c>
      <c r="G389" s="738" t="e">
        <f>#REF!</f>
        <v>#REF!</v>
      </c>
      <c r="H389" s="738" t="e">
        <f>#REF!</f>
        <v>#REF!</v>
      </c>
      <c r="I389" s="739" t="e">
        <f t="shared" si="292"/>
        <v>#REF!</v>
      </c>
      <c r="J389" s="739" t="e">
        <f t="shared" si="293"/>
        <v>#REF!</v>
      </c>
      <c r="K389" s="740" t="e">
        <f t="shared" si="294"/>
        <v>#REF!</v>
      </c>
      <c r="L389" s="735" t="e">
        <f t="shared" si="235"/>
        <v>#REF!</v>
      </c>
      <c r="N389" s="741" t="e">
        <f t="shared" si="307"/>
        <v>#REF!</v>
      </c>
      <c r="O389" s="741" t="e">
        <f t="shared" si="308"/>
        <v>#REF!</v>
      </c>
    </row>
    <row r="390" spans="1:15" s="298" customFormat="1" ht="17.100000000000001" hidden="1" customHeight="1">
      <c r="A390" s="736" t="e">
        <f t="shared" si="256"/>
        <v>#REF!</v>
      </c>
      <c r="B390" s="296" t="s">
        <v>1541</v>
      </c>
      <c r="C390" s="296" t="s">
        <v>1542</v>
      </c>
      <c r="D390" s="297" t="s">
        <v>2</v>
      </c>
      <c r="E390" s="788"/>
      <c r="F390" s="738" t="e">
        <f>#REF!</f>
        <v>#REF!</v>
      </c>
      <c r="G390" s="738" t="e">
        <f>#REF!</f>
        <v>#REF!</v>
      </c>
      <c r="H390" s="738" t="e">
        <f>#REF!</f>
        <v>#REF!</v>
      </c>
      <c r="I390" s="739" t="e">
        <f t="shared" si="292"/>
        <v>#REF!</v>
      </c>
      <c r="J390" s="739" t="e">
        <f t="shared" si="293"/>
        <v>#REF!</v>
      </c>
      <c r="K390" s="740" t="e">
        <f t="shared" ref="K390:K391" si="309">E390*H390</f>
        <v>#REF!</v>
      </c>
      <c r="L390" s="735" t="e">
        <f t="shared" si="235"/>
        <v>#REF!</v>
      </c>
      <c r="N390" s="741" t="e">
        <f t="shared" ref="N390:N391" si="310">SUM(F390:H390)*1.278</f>
        <v>#REF!</v>
      </c>
      <c r="O390" s="741" t="e">
        <f t="shared" ref="O390:O391" si="311">N390*E390</f>
        <v>#REF!</v>
      </c>
    </row>
    <row r="391" spans="1:15" s="298" customFormat="1" ht="17.100000000000001" hidden="1" customHeight="1">
      <c r="A391" s="736" t="e">
        <f t="shared" si="256"/>
        <v>#REF!</v>
      </c>
      <c r="B391" s="296" t="s">
        <v>1404</v>
      </c>
      <c r="C391" s="296" t="s">
        <v>1543</v>
      </c>
      <c r="D391" s="297" t="s">
        <v>2</v>
      </c>
      <c r="E391" s="788"/>
      <c r="F391" s="738" t="e">
        <f>#REF!</f>
        <v>#REF!</v>
      </c>
      <c r="G391" s="738" t="e">
        <f>#REF!</f>
        <v>#REF!</v>
      </c>
      <c r="H391" s="738" t="e">
        <f>#REF!</f>
        <v>#REF!</v>
      </c>
      <c r="I391" s="739" t="e">
        <f t="shared" si="292"/>
        <v>#REF!</v>
      </c>
      <c r="J391" s="739" t="e">
        <f t="shared" si="293"/>
        <v>#REF!</v>
      </c>
      <c r="K391" s="740" t="e">
        <f t="shared" si="309"/>
        <v>#REF!</v>
      </c>
      <c r="L391" s="735" t="e">
        <f t="shared" si="235"/>
        <v>#REF!</v>
      </c>
      <c r="N391" s="741" t="e">
        <f t="shared" si="310"/>
        <v>#REF!</v>
      </c>
      <c r="O391" s="741" t="e">
        <f t="shared" si="311"/>
        <v>#REF!</v>
      </c>
    </row>
    <row r="392" spans="1:15" s="298" customFormat="1" ht="17.100000000000001" hidden="1" customHeight="1">
      <c r="A392" s="736" t="e">
        <f t="shared" si="256"/>
        <v>#REF!</v>
      </c>
      <c r="B392" s="296" t="s">
        <v>547</v>
      </c>
      <c r="C392" s="296" t="s">
        <v>85</v>
      </c>
      <c r="D392" s="297" t="s">
        <v>9</v>
      </c>
      <c r="E392" s="788"/>
      <c r="F392" s="738" t="e">
        <f>#REF!</f>
        <v>#REF!</v>
      </c>
      <c r="G392" s="738" t="e">
        <f>#REF!</f>
        <v>#REF!</v>
      </c>
      <c r="H392" s="738" t="e">
        <f>#REF!</f>
        <v>#REF!</v>
      </c>
      <c r="I392" s="739" t="e">
        <f t="shared" si="292"/>
        <v>#REF!</v>
      </c>
      <c r="J392" s="739" t="e">
        <f t="shared" si="293"/>
        <v>#REF!</v>
      </c>
      <c r="K392" s="740" t="e">
        <f t="shared" si="294"/>
        <v>#REF!</v>
      </c>
      <c r="L392" s="735" t="e">
        <f t="shared" si="235"/>
        <v>#REF!</v>
      </c>
      <c r="N392" s="741" t="e">
        <f t="shared" si="307"/>
        <v>#REF!</v>
      </c>
      <c r="O392" s="741" t="e">
        <f t="shared" si="308"/>
        <v>#REF!</v>
      </c>
    </row>
    <row r="393" spans="1:15" s="298" customFormat="1" ht="17.100000000000001" hidden="1" customHeight="1">
      <c r="A393" s="736" t="e">
        <f t="shared" si="256"/>
        <v>#REF!</v>
      </c>
      <c r="B393" s="296" t="s">
        <v>1395</v>
      </c>
      <c r="C393" s="296" t="s">
        <v>1525</v>
      </c>
      <c r="D393" s="297" t="s">
        <v>2</v>
      </c>
      <c r="E393" s="788"/>
      <c r="F393" s="738" t="e">
        <f>#REF!</f>
        <v>#REF!</v>
      </c>
      <c r="G393" s="738" t="e">
        <f>#REF!</f>
        <v>#REF!</v>
      </c>
      <c r="H393" s="738" t="e">
        <f>#REF!</f>
        <v>#REF!</v>
      </c>
      <c r="I393" s="739" t="e">
        <f t="shared" si="292"/>
        <v>#REF!</v>
      </c>
      <c r="J393" s="739" t="e">
        <f t="shared" si="293"/>
        <v>#REF!</v>
      </c>
      <c r="K393" s="740" t="e">
        <f t="shared" si="294"/>
        <v>#REF!</v>
      </c>
      <c r="L393" s="735" t="e">
        <f t="shared" si="235"/>
        <v>#REF!</v>
      </c>
      <c r="N393" s="741" t="e">
        <f t="shared" si="307"/>
        <v>#REF!</v>
      </c>
      <c r="O393" s="741" t="e">
        <f t="shared" si="308"/>
        <v>#REF!</v>
      </c>
    </row>
    <row r="394" spans="1:15" s="298" customFormat="1" ht="17.100000000000001" hidden="1" customHeight="1">
      <c r="A394" s="736" t="e">
        <f t="shared" si="256"/>
        <v>#REF!</v>
      </c>
      <c r="B394" s="296" t="s">
        <v>1526</v>
      </c>
      <c r="C394" s="296" t="s">
        <v>1527</v>
      </c>
      <c r="D394" s="297" t="s">
        <v>2</v>
      </c>
      <c r="E394" s="788"/>
      <c r="F394" s="738" t="e">
        <f>#REF!</f>
        <v>#REF!</v>
      </c>
      <c r="G394" s="738" t="e">
        <f>#REF!</f>
        <v>#REF!</v>
      </c>
      <c r="H394" s="738" t="e">
        <f>#REF!</f>
        <v>#REF!</v>
      </c>
      <c r="I394" s="739" t="e">
        <f t="shared" ref="I394:I413" si="312">E394*F394</f>
        <v>#REF!</v>
      </c>
      <c r="J394" s="739" t="e">
        <f t="shared" ref="J394:J413" si="313">E394*G394</f>
        <v>#REF!</v>
      </c>
      <c r="K394" s="740" t="e">
        <f t="shared" si="294"/>
        <v>#REF!</v>
      </c>
      <c r="L394" s="735" t="e">
        <f t="shared" si="235"/>
        <v>#REF!</v>
      </c>
      <c r="N394" s="741" t="e">
        <f t="shared" si="307"/>
        <v>#REF!</v>
      </c>
      <c r="O394" s="741" t="e">
        <f t="shared" si="308"/>
        <v>#REF!</v>
      </c>
    </row>
    <row r="395" spans="1:15" s="298" customFormat="1" ht="17.100000000000001" hidden="1" customHeight="1">
      <c r="A395" s="736" t="e">
        <f t="shared" si="256"/>
        <v>#REF!</v>
      </c>
      <c r="B395" s="296" t="s">
        <v>84</v>
      </c>
      <c r="C395" s="296" t="s">
        <v>1528</v>
      </c>
      <c r="D395" s="297" t="s">
        <v>9</v>
      </c>
      <c r="E395" s="788"/>
      <c r="F395" s="738" t="e">
        <f>#REF!</f>
        <v>#REF!</v>
      </c>
      <c r="G395" s="738" t="e">
        <f>#REF!</f>
        <v>#REF!</v>
      </c>
      <c r="H395" s="738" t="e">
        <f>#REF!</f>
        <v>#REF!</v>
      </c>
      <c r="I395" s="739" t="e">
        <f t="shared" si="312"/>
        <v>#REF!</v>
      </c>
      <c r="J395" s="739" t="e">
        <f t="shared" si="313"/>
        <v>#REF!</v>
      </c>
      <c r="K395" s="740" t="e">
        <f t="shared" si="294"/>
        <v>#REF!</v>
      </c>
      <c r="L395" s="735" t="e">
        <f t="shared" si="235"/>
        <v>#REF!</v>
      </c>
      <c r="N395" s="741" t="e">
        <f t="shared" si="307"/>
        <v>#REF!</v>
      </c>
      <c r="O395" s="741" t="e">
        <f t="shared" si="308"/>
        <v>#REF!</v>
      </c>
    </row>
    <row r="396" spans="1:15" s="298" customFormat="1" ht="17.100000000000001" hidden="1" customHeight="1">
      <c r="A396" s="736" t="e">
        <f t="shared" ref="A396:A459" si="314">IF(SUM(F396:H396)&lt;&gt;0,A395+L396,A395)</f>
        <v>#REF!</v>
      </c>
      <c r="B396" s="296" t="s">
        <v>573</v>
      </c>
      <c r="C396" s="296" t="s">
        <v>1529</v>
      </c>
      <c r="D396" s="297" t="s">
        <v>2</v>
      </c>
      <c r="E396" s="788"/>
      <c r="F396" s="738" t="e">
        <f>#REF!</f>
        <v>#REF!</v>
      </c>
      <c r="G396" s="738" t="e">
        <f>#REF!</f>
        <v>#REF!</v>
      </c>
      <c r="H396" s="738"/>
      <c r="I396" s="739" t="e">
        <f t="shared" si="312"/>
        <v>#REF!</v>
      </c>
      <c r="J396" s="739" t="e">
        <f t="shared" si="313"/>
        <v>#REF!</v>
      </c>
      <c r="K396" s="740">
        <f t="shared" si="294"/>
        <v>0</v>
      </c>
      <c r="L396" s="735" t="e">
        <f t="shared" si="235"/>
        <v>#REF!</v>
      </c>
      <c r="N396" s="741" t="e">
        <f t="shared" si="307"/>
        <v>#REF!</v>
      </c>
      <c r="O396" s="741" t="e">
        <f t="shared" si="308"/>
        <v>#REF!</v>
      </c>
    </row>
    <row r="397" spans="1:15" s="298" customFormat="1" ht="17.100000000000001" hidden="1" customHeight="1">
      <c r="A397" s="736" t="e">
        <f t="shared" si="314"/>
        <v>#REF!</v>
      </c>
      <c r="B397" s="296" t="s">
        <v>692</v>
      </c>
      <c r="C397" s="296" t="s">
        <v>1530</v>
      </c>
      <c r="D397" s="297" t="s">
        <v>2</v>
      </c>
      <c r="E397" s="788"/>
      <c r="F397" s="738"/>
      <c r="G397" s="738" t="e">
        <f>#REF!</f>
        <v>#REF!</v>
      </c>
      <c r="H397" s="738" t="e">
        <f>#REF!</f>
        <v>#REF!</v>
      </c>
      <c r="I397" s="739">
        <f t="shared" si="312"/>
        <v>0</v>
      </c>
      <c r="J397" s="739" t="e">
        <f t="shared" si="313"/>
        <v>#REF!</v>
      </c>
      <c r="K397" s="740" t="e">
        <f t="shared" si="294"/>
        <v>#REF!</v>
      </c>
      <c r="L397" s="735" t="e">
        <f t="shared" si="235"/>
        <v>#REF!</v>
      </c>
      <c r="N397" s="741" t="e">
        <f t="shared" si="307"/>
        <v>#REF!</v>
      </c>
      <c r="O397" s="741" t="e">
        <f t="shared" si="308"/>
        <v>#REF!</v>
      </c>
    </row>
    <row r="398" spans="1:15" s="298" customFormat="1" ht="17.100000000000001" hidden="1" customHeight="1">
      <c r="A398" s="736" t="e">
        <f t="shared" si="314"/>
        <v>#REF!</v>
      </c>
      <c r="B398" s="296" t="s">
        <v>694</v>
      </c>
      <c r="C398" s="296" t="s">
        <v>1410</v>
      </c>
      <c r="D398" s="297" t="s">
        <v>2</v>
      </c>
      <c r="E398" s="788"/>
      <c r="F398" s="738"/>
      <c r="G398" s="738" t="e">
        <f>#REF!</f>
        <v>#REF!</v>
      </c>
      <c r="H398" s="738"/>
      <c r="I398" s="739">
        <f t="shared" si="312"/>
        <v>0</v>
      </c>
      <c r="J398" s="739" t="e">
        <f t="shared" si="313"/>
        <v>#REF!</v>
      </c>
      <c r="K398" s="740">
        <f t="shared" si="294"/>
        <v>0</v>
      </c>
      <c r="L398" s="735" t="e">
        <f t="shared" si="235"/>
        <v>#REF!</v>
      </c>
      <c r="N398" s="741" t="e">
        <f t="shared" si="307"/>
        <v>#REF!</v>
      </c>
      <c r="O398" s="741" t="e">
        <f t="shared" si="308"/>
        <v>#REF!</v>
      </c>
    </row>
    <row r="399" spans="1:15" s="298" customFormat="1" ht="17.100000000000001" hidden="1" customHeight="1">
      <c r="A399" s="736" t="e">
        <f t="shared" si="314"/>
        <v>#REF!</v>
      </c>
      <c r="B399" s="296" t="s">
        <v>550</v>
      </c>
      <c r="C399" s="296" t="s">
        <v>1531</v>
      </c>
      <c r="D399" s="297" t="s">
        <v>2</v>
      </c>
      <c r="E399" s="788"/>
      <c r="F399" s="738"/>
      <c r="G399" s="738" t="e">
        <f>#REF!</f>
        <v>#REF!</v>
      </c>
      <c r="H399" s="738" t="e">
        <f>#REF!</f>
        <v>#REF!</v>
      </c>
      <c r="I399" s="739">
        <f t="shared" si="312"/>
        <v>0</v>
      </c>
      <c r="J399" s="739" t="e">
        <f t="shared" si="313"/>
        <v>#REF!</v>
      </c>
      <c r="K399" s="740" t="e">
        <f t="shared" si="294"/>
        <v>#REF!</v>
      </c>
      <c r="L399" s="735" t="e">
        <f t="shared" ref="L399:L470" si="315">IF(OR(SUM(I399:K399)&lt;&gt;0,B399="*"),$L$5,0)</f>
        <v>#REF!</v>
      </c>
      <c r="N399" s="741" t="e">
        <f t="shared" si="307"/>
        <v>#REF!</v>
      </c>
      <c r="O399" s="741" t="e">
        <f t="shared" si="308"/>
        <v>#REF!</v>
      </c>
    </row>
    <row r="400" spans="1:15" s="298" customFormat="1" ht="17.100000000000001" hidden="1" customHeight="1">
      <c r="A400" s="736" t="e">
        <f t="shared" si="314"/>
        <v>#REF!</v>
      </c>
      <c r="B400" s="296" t="s">
        <v>1532</v>
      </c>
      <c r="C400" s="296" t="s">
        <v>1533</v>
      </c>
      <c r="D400" s="297" t="s">
        <v>667</v>
      </c>
      <c r="E400" s="788"/>
      <c r="F400" s="738" t="e">
        <f>#REF!</f>
        <v>#REF!</v>
      </c>
      <c r="G400" s="738" t="e">
        <f>#REF!</f>
        <v>#REF!</v>
      </c>
      <c r="H400" s="738" t="e">
        <f>#REF!</f>
        <v>#REF!</v>
      </c>
      <c r="I400" s="739" t="e">
        <f t="shared" si="312"/>
        <v>#REF!</v>
      </c>
      <c r="J400" s="739" t="e">
        <f t="shared" si="313"/>
        <v>#REF!</v>
      </c>
      <c r="K400" s="740" t="e">
        <f t="shared" si="294"/>
        <v>#REF!</v>
      </c>
      <c r="L400" s="735" t="e">
        <f t="shared" si="315"/>
        <v>#REF!</v>
      </c>
      <c r="N400" s="741" t="e">
        <f t="shared" si="307"/>
        <v>#REF!</v>
      </c>
      <c r="O400" s="741" t="e">
        <f t="shared" si="308"/>
        <v>#REF!</v>
      </c>
    </row>
    <row r="401" spans="1:15" s="298" customFormat="1" ht="17.100000000000001" hidden="1" customHeight="1">
      <c r="A401" s="736" t="e">
        <f t="shared" si="314"/>
        <v>#REF!</v>
      </c>
      <c r="B401" s="296" t="s">
        <v>596</v>
      </c>
      <c r="C401" s="296" t="s">
        <v>85</v>
      </c>
      <c r="D401" s="297" t="s">
        <v>9</v>
      </c>
      <c r="E401" s="788"/>
      <c r="F401" s="738" t="e">
        <f>#REF!</f>
        <v>#REF!</v>
      </c>
      <c r="G401" s="738" t="e">
        <f>#REF!</f>
        <v>#REF!</v>
      </c>
      <c r="H401" s="738" t="e">
        <f>#REF!</f>
        <v>#REF!</v>
      </c>
      <c r="I401" s="739" t="e">
        <f t="shared" si="312"/>
        <v>#REF!</v>
      </c>
      <c r="J401" s="739" t="e">
        <f t="shared" si="313"/>
        <v>#REF!</v>
      </c>
      <c r="K401" s="740" t="e">
        <f t="shared" si="294"/>
        <v>#REF!</v>
      </c>
      <c r="L401" s="735" t="e">
        <f t="shared" si="315"/>
        <v>#REF!</v>
      </c>
      <c r="N401" s="741" t="e">
        <f t="shared" si="307"/>
        <v>#REF!</v>
      </c>
      <c r="O401" s="741" t="e">
        <f t="shared" si="308"/>
        <v>#REF!</v>
      </c>
    </row>
    <row r="402" spans="1:15" s="298" customFormat="1" ht="17.100000000000001" hidden="1" customHeight="1">
      <c r="A402" s="736" t="e">
        <f t="shared" si="314"/>
        <v>#REF!</v>
      </c>
      <c r="B402" s="296" t="s">
        <v>669</v>
      </c>
      <c r="C402" s="296" t="s">
        <v>1534</v>
      </c>
      <c r="D402" s="297" t="s">
        <v>671</v>
      </c>
      <c r="E402" s="788"/>
      <c r="F402" s="738" t="e">
        <f>#REF!</f>
        <v>#REF!</v>
      </c>
      <c r="G402" s="738" t="e">
        <f>#REF!</f>
        <v>#REF!</v>
      </c>
      <c r="H402" s="738" t="e">
        <f>#REF!</f>
        <v>#REF!</v>
      </c>
      <c r="I402" s="739" t="e">
        <f t="shared" si="312"/>
        <v>#REF!</v>
      </c>
      <c r="J402" s="739" t="e">
        <f t="shared" si="313"/>
        <v>#REF!</v>
      </c>
      <c r="K402" s="740" t="e">
        <f t="shared" si="294"/>
        <v>#REF!</v>
      </c>
      <c r="L402" s="735" t="e">
        <f t="shared" si="315"/>
        <v>#REF!</v>
      </c>
      <c r="N402" s="741" t="e">
        <f t="shared" si="307"/>
        <v>#REF!</v>
      </c>
      <c r="O402" s="741" t="e">
        <f t="shared" si="308"/>
        <v>#REF!</v>
      </c>
    </row>
    <row r="403" spans="1:15" s="298" customFormat="1" ht="17.100000000000001" hidden="1" customHeight="1">
      <c r="A403" s="736" t="e">
        <f t="shared" si="314"/>
        <v>#REF!</v>
      </c>
      <c r="B403" s="296" t="s">
        <v>1535</v>
      </c>
      <c r="C403" s="296" t="s">
        <v>1536</v>
      </c>
      <c r="D403" s="297" t="s">
        <v>9</v>
      </c>
      <c r="E403" s="788"/>
      <c r="F403" s="738"/>
      <c r="G403" s="738" t="e">
        <f>#REF!</f>
        <v>#REF!</v>
      </c>
      <c r="H403" s="738"/>
      <c r="I403" s="739">
        <f t="shared" si="312"/>
        <v>0</v>
      </c>
      <c r="J403" s="739" t="e">
        <f t="shared" si="313"/>
        <v>#REF!</v>
      </c>
      <c r="K403" s="740">
        <f t="shared" si="294"/>
        <v>0</v>
      </c>
      <c r="L403" s="735" t="e">
        <f t="shared" si="315"/>
        <v>#REF!</v>
      </c>
      <c r="N403" s="741" t="e">
        <f t="shared" si="307"/>
        <v>#REF!</v>
      </c>
      <c r="O403" s="741" t="e">
        <f t="shared" si="308"/>
        <v>#REF!</v>
      </c>
    </row>
    <row r="404" spans="1:15" s="298" customFormat="1" ht="17.100000000000001" hidden="1" customHeight="1">
      <c r="A404" s="736" t="e">
        <f t="shared" si="314"/>
        <v>#REF!</v>
      </c>
      <c r="B404" s="296" t="s">
        <v>1537</v>
      </c>
      <c r="C404" s="296" t="s">
        <v>1538</v>
      </c>
      <c r="D404" s="297" t="s">
        <v>2</v>
      </c>
      <c r="E404" s="788"/>
      <c r="F404" s="738" t="e">
        <f>#REF!</f>
        <v>#REF!</v>
      </c>
      <c r="G404" s="738" t="e">
        <f>#REF!</f>
        <v>#REF!</v>
      </c>
      <c r="H404" s="738" t="e">
        <f>#REF!</f>
        <v>#REF!</v>
      </c>
      <c r="I404" s="739" t="e">
        <f t="shared" si="312"/>
        <v>#REF!</v>
      </c>
      <c r="J404" s="739" t="e">
        <f t="shared" si="313"/>
        <v>#REF!</v>
      </c>
      <c r="K404" s="740" t="e">
        <f t="shared" si="294"/>
        <v>#REF!</v>
      </c>
      <c r="L404" s="735" t="e">
        <f t="shared" si="315"/>
        <v>#REF!</v>
      </c>
      <c r="N404" s="741" t="e">
        <f t="shared" si="307"/>
        <v>#REF!</v>
      </c>
      <c r="O404" s="741" t="e">
        <f t="shared" si="308"/>
        <v>#REF!</v>
      </c>
    </row>
    <row r="405" spans="1:15" s="298" customFormat="1" ht="17.100000000000001" hidden="1" customHeight="1">
      <c r="A405" s="736" t="e">
        <f t="shared" si="314"/>
        <v>#REF!</v>
      </c>
      <c r="B405" s="296" t="s">
        <v>857</v>
      </c>
      <c r="C405" s="296" t="s">
        <v>858</v>
      </c>
      <c r="D405" s="297" t="s">
        <v>2</v>
      </c>
      <c r="E405" s="788"/>
      <c r="F405" s="738" t="e">
        <f>#REF!</f>
        <v>#REF!</v>
      </c>
      <c r="G405" s="738" t="e">
        <f>#REF!</f>
        <v>#REF!</v>
      </c>
      <c r="H405" s="738"/>
      <c r="I405" s="739" t="e">
        <f t="shared" si="312"/>
        <v>#REF!</v>
      </c>
      <c r="J405" s="739" t="e">
        <f t="shared" si="313"/>
        <v>#REF!</v>
      </c>
      <c r="K405" s="740">
        <f t="shared" si="294"/>
        <v>0</v>
      </c>
      <c r="L405" s="735" t="e">
        <f t="shared" si="315"/>
        <v>#REF!</v>
      </c>
      <c r="N405" s="741" t="e">
        <f t="shared" si="307"/>
        <v>#REF!</v>
      </c>
      <c r="O405" s="741" t="e">
        <f t="shared" si="308"/>
        <v>#REF!</v>
      </c>
    </row>
    <row r="406" spans="1:15" s="298" customFormat="1" ht="17.100000000000001" hidden="1" customHeight="1">
      <c r="A406" s="736" t="e">
        <f t="shared" si="314"/>
        <v>#REF!</v>
      </c>
      <c r="B406" s="296" t="s">
        <v>1539</v>
      </c>
      <c r="C406" s="296" t="s">
        <v>1540</v>
      </c>
      <c r="D406" s="297" t="s">
        <v>9</v>
      </c>
      <c r="E406" s="788"/>
      <c r="F406" s="738" t="e">
        <f>#REF!</f>
        <v>#REF!</v>
      </c>
      <c r="G406" s="738"/>
      <c r="H406" s="738"/>
      <c r="I406" s="739" t="e">
        <f t="shared" si="312"/>
        <v>#REF!</v>
      </c>
      <c r="J406" s="739">
        <f t="shared" si="313"/>
        <v>0</v>
      </c>
      <c r="K406" s="740">
        <f t="shared" si="294"/>
        <v>0</v>
      </c>
      <c r="L406" s="735" t="e">
        <f t="shared" si="315"/>
        <v>#REF!</v>
      </c>
      <c r="N406" s="741" t="e">
        <f t="shared" si="307"/>
        <v>#REF!</v>
      </c>
      <c r="O406" s="741" t="e">
        <f t="shared" si="308"/>
        <v>#REF!</v>
      </c>
    </row>
    <row r="407" spans="1:15" s="298" customFormat="1" ht="17.100000000000001" hidden="1" customHeight="1">
      <c r="A407" s="736" t="e">
        <f t="shared" si="314"/>
        <v>#REF!</v>
      </c>
      <c r="B407" s="296" t="s">
        <v>859</v>
      </c>
      <c r="C407" s="296" t="s">
        <v>1406</v>
      </c>
      <c r="D407" s="297" t="s">
        <v>310</v>
      </c>
      <c r="E407" s="788"/>
      <c r="F407" s="738" t="e">
        <f>#REF!</f>
        <v>#REF!</v>
      </c>
      <c r="G407" s="738"/>
      <c r="H407" s="738"/>
      <c r="I407" s="739" t="e">
        <f t="shared" si="312"/>
        <v>#REF!</v>
      </c>
      <c r="J407" s="739">
        <f t="shared" si="313"/>
        <v>0</v>
      </c>
      <c r="K407" s="740">
        <f t="shared" si="294"/>
        <v>0</v>
      </c>
      <c r="L407" s="735" t="e">
        <f t="shared" si="315"/>
        <v>#REF!</v>
      </c>
      <c r="N407" s="741" t="e">
        <f t="shared" si="307"/>
        <v>#REF!</v>
      </c>
      <c r="O407" s="741" t="e">
        <f t="shared" si="308"/>
        <v>#REF!</v>
      </c>
    </row>
    <row r="408" spans="1:15" s="298" customFormat="1" ht="17.100000000000001" hidden="1" customHeight="1">
      <c r="A408" s="736" t="e">
        <f t="shared" si="314"/>
        <v>#REF!</v>
      </c>
      <c r="B408" s="758" t="s">
        <v>1814</v>
      </c>
      <c r="C408" s="758" t="s">
        <v>1409</v>
      </c>
      <c r="D408" s="774" t="s">
        <v>551</v>
      </c>
      <c r="E408" s="821"/>
      <c r="F408" s="760" t="e">
        <f>#REF!</f>
        <v>#REF!</v>
      </c>
      <c r="G408" s="760" t="e">
        <f>#REF!</f>
        <v>#REF!</v>
      </c>
      <c r="H408" s="760"/>
      <c r="I408" s="759" t="e">
        <f t="shared" si="312"/>
        <v>#REF!</v>
      </c>
      <c r="J408" s="759" t="e">
        <f t="shared" si="313"/>
        <v>#REF!</v>
      </c>
      <c r="K408" s="835">
        <f t="shared" si="294"/>
        <v>0</v>
      </c>
      <c r="L408" s="735" t="e">
        <f t="shared" si="315"/>
        <v>#REF!</v>
      </c>
      <c r="N408" s="741" t="e">
        <f t="shared" si="307"/>
        <v>#REF!</v>
      </c>
      <c r="O408" s="741" t="e">
        <f t="shared" si="308"/>
        <v>#REF!</v>
      </c>
    </row>
    <row r="409" spans="1:15" s="298" customFormat="1" ht="17.100000000000001" hidden="1" customHeight="1">
      <c r="A409" s="736" t="e">
        <f t="shared" si="314"/>
        <v>#REF!</v>
      </c>
      <c r="B409" s="296" t="s">
        <v>1539</v>
      </c>
      <c r="C409" s="296" t="s">
        <v>1889</v>
      </c>
      <c r="D409" s="297" t="s">
        <v>9</v>
      </c>
      <c r="E409" s="788"/>
      <c r="F409" s="738" t="e">
        <f>#REF!</f>
        <v>#REF!</v>
      </c>
      <c r="G409" s="738"/>
      <c r="H409" s="738"/>
      <c r="I409" s="739" t="e">
        <f t="shared" ref="I409" si="316">E409*F409</f>
        <v>#REF!</v>
      </c>
      <c r="J409" s="739">
        <f t="shared" ref="J409" si="317">E409*G409</f>
        <v>0</v>
      </c>
      <c r="K409" s="740">
        <f t="shared" ref="K409" si="318">E409*H409</f>
        <v>0</v>
      </c>
      <c r="L409" s="735" t="e">
        <f t="shared" ref="L409" si="319">IF(OR(SUM(I409:K409)&lt;&gt;0,B409="*"),$L$5,0)</f>
        <v>#REF!</v>
      </c>
      <c r="N409" s="741" t="e">
        <f t="shared" ref="N409" si="320">SUM(F409:H409)*1.278</f>
        <v>#REF!</v>
      </c>
      <c r="O409" s="741" t="e">
        <f t="shared" ref="O409" si="321">N409*E409</f>
        <v>#REF!</v>
      </c>
    </row>
    <row r="410" spans="1:15" s="298" customFormat="1" ht="17.100000000000001" hidden="1" customHeight="1">
      <c r="A410" s="736" t="e">
        <f t="shared" si="314"/>
        <v>#REF!</v>
      </c>
      <c r="B410" s="296" t="s">
        <v>1541</v>
      </c>
      <c r="C410" s="296" t="s">
        <v>1542</v>
      </c>
      <c r="D410" s="297" t="s">
        <v>2</v>
      </c>
      <c r="E410" s="788"/>
      <c r="F410" s="738" t="e">
        <f>#REF!</f>
        <v>#REF!</v>
      </c>
      <c r="G410" s="738" t="e">
        <f>#REF!</f>
        <v>#REF!</v>
      </c>
      <c r="H410" s="738" t="e">
        <f>#REF!</f>
        <v>#REF!</v>
      </c>
      <c r="I410" s="739" t="e">
        <f t="shared" si="312"/>
        <v>#REF!</v>
      </c>
      <c r="J410" s="739" t="e">
        <f t="shared" si="313"/>
        <v>#REF!</v>
      </c>
      <c r="K410" s="740" t="e">
        <f t="shared" si="294"/>
        <v>#REF!</v>
      </c>
      <c r="L410" s="735" t="e">
        <f t="shared" si="315"/>
        <v>#REF!</v>
      </c>
      <c r="N410" s="741" t="e">
        <f t="shared" si="307"/>
        <v>#REF!</v>
      </c>
      <c r="O410" s="741" t="e">
        <f t="shared" si="308"/>
        <v>#REF!</v>
      </c>
    </row>
    <row r="411" spans="1:15" s="298" customFormat="1" ht="17.100000000000001" hidden="1" customHeight="1">
      <c r="A411" s="736" t="e">
        <f t="shared" si="314"/>
        <v>#REF!</v>
      </c>
      <c r="B411" s="296" t="s">
        <v>1402</v>
      </c>
      <c r="C411" s="296" t="s">
        <v>1524</v>
      </c>
      <c r="D411" s="297" t="s">
        <v>2</v>
      </c>
      <c r="E411" s="788"/>
      <c r="F411" s="738" t="e">
        <f>#REF!</f>
        <v>#REF!</v>
      </c>
      <c r="G411" s="738" t="e">
        <f>#REF!</f>
        <v>#REF!</v>
      </c>
      <c r="H411" s="738" t="e">
        <f>#REF!</f>
        <v>#REF!</v>
      </c>
      <c r="I411" s="739" t="e">
        <f t="shared" si="312"/>
        <v>#REF!</v>
      </c>
      <c r="J411" s="739" t="e">
        <f t="shared" si="313"/>
        <v>#REF!</v>
      </c>
      <c r="K411" s="740" t="e">
        <f t="shared" si="294"/>
        <v>#REF!</v>
      </c>
      <c r="L411" s="735" t="e">
        <f t="shared" si="315"/>
        <v>#REF!</v>
      </c>
      <c r="N411" s="741" t="e">
        <f t="shared" si="307"/>
        <v>#REF!</v>
      </c>
      <c r="O411" s="741" t="e">
        <f t="shared" si="308"/>
        <v>#REF!</v>
      </c>
    </row>
    <row r="412" spans="1:15" s="298" customFormat="1" ht="17.100000000000001" hidden="1" customHeight="1">
      <c r="A412" s="736" t="e">
        <f t="shared" si="314"/>
        <v>#REF!</v>
      </c>
      <c r="B412" s="296" t="s">
        <v>1404</v>
      </c>
      <c r="C412" s="296" t="s">
        <v>1543</v>
      </c>
      <c r="D412" s="297" t="s">
        <v>2</v>
      </c>
      <c r="E412" s="788"/>
      <c r="F412" s="738" t="e">
        <f>#REF!</f>
        <v>#REF!</v>
      </c>
      <c r="G412" s="738" t="e">
        <f>#REF!</f>
        <v>#REF!</v>
      </c>
      <c r="H412" s="738" t="e">
        <f>#REF!</f>
        <v>#REF!</v>
      </c>
      <c r="I412" s="739" t="e">
        <f t="shared" si="312"/>
        <v>#REF!</v>
      </c>
      <c r="J412" s="739" t="e">
        <f t="shared" si="313"/>
        <v>#REF!</v>
      </c>
      <c r="K412" s="740" t="e">
        <f t="shared" si="294"/>
        <v>#REF!</v>
      </c>
      <c r="L412" s="735" t="e">
        <f t="shared" si="315"/>
        <v>#REF!</v>
      </c>
      <c r="N412" s="741" t="e">
        <f t="shared" si="307"/>
        <v>#REF!</v>
      </c>
      <c r="O412" s="741" t="e">
        <f t="shared" si="308"/>
        <v>#REF!</v>
      </c>
    </row>
    <row r="413" spans="1:15" s="298" customFormat="1" ht="17.100000000000001" hidden="1" customHeight="1">
      <c r="A413" s="736" t="e">
        <f t="shared" si="314"/>
        <v>#REF!</v>
      </c>
      <c r="B413" s="296" t="s">
        <v>547</v>
      </c>
      <c r="C413" s="296" t="s">
        <v>85</v>
      </c>
      <c r="D413" s="297" t="s">
        <v>9</v>
      </c>
      <c r="E413" s="788"/>
      <c r="F413" s="738" t="e">
        <f>#REF!</f>
        <v>#REF!</v>
      </c>
      <c r="G413" s="738" t="e">
        <f>#REF!</f>
        <v>#REF!</v>
      </c>
      <c r="H413" s="738" t="e">
        <f>#REF!</f>
        <v>#REF!</v>
      </c>
      <c r="I413" s="739" t="e">
        <f t="shared" si="312"/>
        <v>#REF!</v>
      </c>
      <c r="J413" s="739" t="e">
        <f t="shared" si="313"/>
        <v>#REF!</v>
      </c>
      <c r="K413" s="740" t="e">
        <f t="shared" si="294"/>
        <v>#REF!</v>
      </c>
      <c r="L413" s="735" t="e">
        <f t="shared" si="315"/>
        <v>#REF!</v>
      </c>
      <c r="N413" s="741" t="e">
        <f t="shared" si="307"/>
        <v>#REF!</v>
      </c>
      <c r="O413" s="741" t="e">
        <f t="shared" si="308"/>
        <v>#REF!</v>
      </c>
    </row>
    <row r="414" spans="1:15" s="298" customFormat="1" ht="17.100000000000001" hidden="1" customHeight="1">
      <c r="A414" s="736" t="e">
        <f t="shared" si="314"/>
        <v>#REF!</v>
      </c>
      <c r="B414" s="296" t="s">
        <v>549</v>
      </c>
      <c r="C414" s="296" t="s">
        <v>1872</v>
      </c>
      <c r="D414" s="297" t="s">
        <v>2</v>
      </c>
      <c r="E414" s="788"/>
      <c r="F414" s="738"/>
      <c r="G414" s="738" t="e">
        <f>#REF!</f>
        <v>#REF!</v>
      </c>
      <c r="H414" s="738" t="e">
        <f>#REF!</f>
        <v>#REF!</v>
      </c>
      <c r="I414" s="739">
        <f>E414*F414</f>
        <v>0</v>
      </c>
      <c r="J414" s="739" t="e">
        <f>E414*G414</f>
        <v>#REF!</v>
      </c>
      <c r="K414" s="740" t="e">
        <f>E414*H414</f>
        <v>#REF!</v>
      </c>
      <c r="L414" s="735" t="e">
        <f t="shared" si="315"/>
        <v>#REF!</v>
      </c>
      <c r="N414" s="741" t="e">
        <f t="shared" ref="N414" si="322">SUM(F414:H414)*1.278</f>
        <v>#REF!</v>
      </c>
      <c r="O414" s="741" t="e">
        <f t="shared" si="308"/>
        <v>#REF!</v>
      </c>
    </row>
    <row r="415" spans="1:15" s="298" customFormat="1" ht="17.100000000000001" hidden="1" customHeight="1">
      <c r="A415" s="736" t="e">
        <f t="shared" si="314"/>
        <v>#REF!</v>
      </c>
      <c r="B415" s="296" t="s">
        <v>550</v>
      </c>
      <c r="C415" s="296" t="s">
        <v>580</v>
      </c>
      <c r="D415" s="297" t="s">
        <v>2</v>
      </c>
      <c r="E415" s="788"/>
      <c r="F415" s="738"/>
      <c r="G415" s="738" t="e">
        <f>#REF!</f>
        <v>#REF!</v>
      </c>
      <c r="H415" s="738" t="e">
        <f>#REF!</f>
        <v>#REF!</v>
      </c>
      <c r="I415" s="739">
        <f t="shared" ref="I415" si="323">E415*F415</f>
        <v>0</v>
      </c>
      <c r="J415" s="739" t="e">
        <f t="shared" ref="J415" si="324">E415*G415</f>
        <v>#REF!</v>
      </c>
      <c r="K415" s="740" t="e">
        <f t="shared" ref="K415" si="325">E415*H415</f>
        <v>#REF!</v>
      </c>
      <c r="L415" s="735" t="e">
        <f t="shared" ref="L415" si="326">IF(OR(SUM(I415:K415)&lt;&gt;0,B415="*"),$L$5,0)</f>
        <v>#REF!</v>
      </c>
      <c r="N415" s="741" t="e">
        <f t="shared" ref="N415" si="327">SUM(F415:H415)*1.278</f>
        <v>#REF!</v>
      </c>
      <c r="O415" s="741" t="e">
        <f t="shared" ref="O415" si="328">N415*E415</f>
        <v>#REF!</v>
      </c>
    </row>
    <row r="416" spans="1:15" s="298" customFormat="1" ht="17.100000000000001" hidden="1" customHeight="1">
      <c r="A416" s="736" t="e">
        <f t="shared" si="314"/>
        <v>#REF!</v>
      </c>
      <c r="B416" s="296" t="s">
        <v>0</v>
      </c>
      <c r="C416" s="296" t="s">
        <v>1544</v>
      </c>
      <c r="D416" s="297" t="s">
        <v>0</v>
      </c>
      <c r="E416" s="788"/>
      <c r="F416" s="738"/>
      <c r="G416" s="738"/>
      <c r="H416" s="738"/>
      <c r="I416" s="739"/>
      <c r="J416" s="739"/>
      <c r="K416" s="740"/>
      <c r="L416" s="735">
        <f t="shared" si="315"/>
        <v>0</v>
      </c>
      <c r="N416" s="741">
        <f t="shared" si="307"/>
        <v>0</v>
      </c>
      <c r="O416" s="741">
        <f t="shared" si="308"/>
        <v>0</v>
      </c>
    </row>
    <row r="417" spans="1:15" s="298" customFormat="1" ht="17.100000000000001" hidden="1" customHeight="1">
      <c r="A417" s="736" t="e">
        <f t="shared" si="314"/>
        <v>#REF!</v>
      </c>
      <c r="B417" s="296" t="s">
        <v>1545</v>
      </c>
      <c r="C417" s="296" t="s">
        <v>1546</v>
      </c>
      <c r="D417" s="297" t="s">
        <v>9</v>
      </c>
      <c r="E417" s="788"/>
      <c r="F417" s="738" t="e">
        <f>#REF!</f>
        <v>#REF!</v>
      </c>
      <c r="G417" s="738" t="e">
        <f>#REF!</f>
        <v>#REF!</v>
      </c>
      <c r="H417" s="738" t="e">
        <f>#REF!</f>
        <v>#REF!</v>
      </c>
      <c r="I417" s="739" t="e">
        <f>E417*F417</f>
        <v>#REF!</v>
      </c>
      <c r="J417" s="739" t="e">
        <f>E417*G417</f>
        <v>#REF!</v>
      </c>
      <c r="K417" s="740" t="e">
        <f>E417*H417</f>
        <v>#REF!</v>
      </c>
      <c r="L417" s="735" t="e">
        <f t="shared" si="315"/>
        <v>#REF!</v>
      </c>
      <c r="N417" s="741" t="e">
        <f t="shared" si="307"/>
        <v>#REF!</v>
      </c>
      <c r="O417" s="741" t="e">
        <f t="shared" si="308"/>
        <v>#REF!</v>
      </c>
    </row>
    <row r="418" spans="1:15" s="298" customFormat="1" ht="17.100000000000001" hidden="1" customHeight="1">
      <c r="A418" s="736" t="e">
        <f t="shared" si="314"/>
        <v>#REF!</v>
      </c>
      <c r="B418" s="296" t="s">
        <v>1547</v>
      </c>
      <c r="C418" s="296" t="s">
        <v>1548</v>
      </c>
      <c r="D418" s="297" t="s">
        <v>9</v>
      </c>
      <c r="E418" s="788"/>
      <c r="F418" s="738" t="e">
        <f>#REF!</f>
        <v>#REF!</v>
      </c>
      <c r="G418" s="738" t="e">
        <f>#REF!</f>
        <v>#REF!</v>
      </c>
      <c r="H418" s="738" t="e">
        <f>#REF!</f>
        <v>#REF!</v>
      </c>
      <c r="I418" s="739" t="e">
        <f>E418*F418</f>
        <v>#REF!</v>
      </c>
      <c r="J418" s="739" t="e">
        <f>E418*G418</f>
        <v>#REF!</v>
      </c>
      <c r="K418" s="740" t="e">
        <f>E418*H418</f>
        <v>#REF!</v>
      </c>
      <c r="L418" s="735" t="e">
        <f t="shared" si="315"/>
        <v>#REF!</v>
      </c>
      <c r="N418" s="741" t="e">
        <f t="shared" si="307"/>
        <v>#REF!</v>
      </c>
      <c r="O418" s="741" t="e">
        <f t="shared" si="308"/>
        <v>#REF!</v>
      </c>
    </row>
    <row r="419" spans="1:15" s="298" customFormat="1" ht="17.100000000000001" hidden="1" customHeight="1">
      <c r="A419" s="736" t="e">
        <f t="shared" si="314"/>
        <v>#REF!</v>
      </c>
      <c r="B419" s="296" t="s">
        <v>1549</v>
      </c>
      <c r="C419" s="296" t="s">
        <v>1550</v>
      </c>
      <c r="D419" s="297" t="s">
        <v>9</v>
      </c>
      <c r="E419" s="788"/>
      <c r="F419" s="738"/>
      <c r="G419" s="738" t="e">
        <f>#REF!</f>
        <v>#REF!</v>
      </c>
      <c r="H419" s="738"/>
      <c r="I419" s="739">
        <f>E419*F419</f>
        <v>0</v>
      </c>
      <c r="J419" s="739" t="e">
        <f>E419*G419</f>
        <v>#REF!</v>
      </c>
      <c r="K419" s="740">
        <f>E419*H419</f>
        <v>0</v>
      </c>
      <c r="L419" s="735" t="e">
        <f t="shared" si="315"/>
        <v>#REF!</v>
      </c>
      <c r="N419" s="741" t="e">
        <f t="shared" si="307"/>
        <v>#REF!</v>
      </c>
      <c r="O419" s="741" t="e">
        <f t="shared" si="308"/>
        <v>#REF!</v>
      </c>
    </row>
    <row r="420" spans="1:15" s="298" customFormat="1" ht="17.100000000000001" hidden="1" customHeight="1">
      <c r="A420" s="736" t="e">
        <f t="shared" si="314"/>
        <v>#REF!</v>
      </c>
      <c r="B420" s="296" t="s">
        <v>1551</v>
      </c>
      <c r="C420" s="296" t="s">
        <v>1552</v>
      </c>
      <c r="D420" s="297" t="s">
        <v>9</v>
      </c>
      <c r="E420" s="788"/>
      <c r="F420" s="738"/>
      <c r="G420" s="738" t="e">
        <f>#REF!</f>
        <v>#REF!</v>
      </c>
      <c r="H420" s="738"/>
      <c r="I420" s="739">
        <f>E420*F420</f>
        <v>0</v>
      </c>
      <c r="J420" s="739" t="e">
        <f>E420*G420</f>
        <v>#REF!</v>
      </c>
      <c r="K420" s="740">
        <f>E420*H420</f>
        <v>0</v>
      </c>
      <c r="L420" s="735" t="e">
        <f t="shared" si="315"/>
        <v>#REF!</v>
      </c>
      <c r="N420" s="741" t="e">
        <f t="shared" si="307"/>
        <v>#REF!</v>
      </c>
      <c r="O420" s="741" t="e">
        <f t="shared" si="308"/>
        <v>#REF!</v>
      </c>
    </row>
    <row r="421" spans="1:15" s="298" customFormat="1" ht="17.100000000000001" customHeight="1">
      <c r="A421" s="839" t="e">
        <f t="shared" si="314"/>
        <v>#REF!</v>
      </c>
      <c r="B421" s="744" t="s">
        <v>1746</v>
      </c>
      <c r="C421" s="744"/>
      <c r="D421" s="745"/>
      <c r="E421" s="820"/>
      <c r="F421" s="746"/>
      <c r="G421" s="746"/>
      <c r="H421" s="746"/>
      <c r="I421" s="747"/>
      <c r="J421" s="747"/>
      <c r="K421" s="748"/>
      <c r="L421" s="735">
        <f t="shared" si="315"/>
        <v>1</v>
      </c>
      <c r="N421" s="741"/>
      <c r="O421" s="741"/>
    </row>
    <row r="422" spans="1:15" s="298" customFormat="1" ht="17.100000000000001" customHeight="1">
      <c r="A422" s="840" t="e">
        <f t="shared" si="314"/>
        <v>#REF!</v>
      </c>
      <c r="B422" s="758"/>
      <c r="C422" s="730" t="s">
        <v>1770</v>
      </c>
      <c r="D422" s="774"/>
      <c r="E422" s="821"/>
      <c r="F422" s="760"/>
      <c r="G422" s="760"/>
      <c r="H422" s="760"/>
      <c r="I422" s="733" t="e">
        <f>SUM(I423:I514)</f>
        <v>#REF!</v>
      </c>
      <c r="J422" s="733" t="e">
        <f>SUM(J423:J514)</f>
        <v>#REF!</v>
      </c>
      <c r="K422" s="734" t="e">
        <f>SUM(K423:K514)</f>
        <v>#REF!</v>
      </c>
      <c r="L422" s="735" t="e">
        <f t="shared" si="315"/>
        <v>#REF!</v>
      </c>
      <c r="N422" s="741"/>
      <c r="O422" s="741"/>
    </row>
    <row r="423" spans="1:15" s="298" customFormat="1" ht="17.100000000000001" hidden="1" customHeight="1">
      <c r="A423" s="736" t="e">
        <f t="shared" si="314"/>
        <v>#REF!</v>
      </c>
      <c r="B423" s="296"/>
      <c r="C423" s="737" t="s">
        <v>1717</v>
      </c>
      <c r="D423" s="297" t="s">
        <v>0</v>
      </c>
      <c r="E423" s="788"/>
      <c r="F423" s="738"/>
      <c r="G423" s="738"/>
      <c r="H423" s="738"/>
      <c r="I423" s="739"/>
      <c r="J423" s="739"/>
      <c r="K423" s="740"/>
      <c r="L423" s="735">
        <f t="shared" si="315"/>
        <v>0</v>
      </c>
      <c r="N423" s="741">
        <f t="shared" si="307"/>
        <v>0</v>
      </c>
      <c r="O423" s="741">
        <f t="shared" si="308"/>
        <v>0</v>
      </c>
    </row>
    <row r="424" spans="1:15" s="298" customFormat="1" ht="17.100000000000001" hidden="1" customHeight="1">
      <c r="A424" s="736" t="e">
        <f t="shared" si="314"/>
        <v>#REF!</v>
      </c>
      <c r="B424" s="296" t="s">
        <v>1532</v>
      </c>
      <c r="C424" s="296" t="s">
        <v>721</v>
      </c>
      <c r="D424" s="297" t="s">
        <v>667</v>
      </c>
      <c r="E424" s="788"/>
      <c r="F424" s="738" t="e">
        <f>#REF!</f>
        <v>#REF!</v>
      </c>
      <c r="G424" s="738" t="e">
        <f>#REF!</f>
        <v>#REF!</v>
      </c>
      <c r="H424" s="738" t="e">
        <f>#REF!</f>
        <v>#REF!</v>
      </c>
      <c r="I424" s="739" t="e">
        <f t="shared" ref="I424:I429" si="329">E424*F424</f>
        <v>#REF!</v>
      </c>
      <c r="J424" s="739" t="e">
        <f t="shared" ref="J424:J429" si="330">E424*G424</f>
        <v>#REF!</v>
      </c>
      <c r="K424" s="740" t="e">
        <f t="shared" ref="K424:K460" si="331">E424*H424</f>
        <v>#REF!</v>
      </c>
      <c r="L424" s="735" t="e">
        <f t="shared" si="315"/>
        <v>#REF!</v>
      </c>
      <c r="N424" s="741" t="e">
        <f t="shared" si="307"/>
        <v>#REF!</v>
      </c>
      <c r="O424" s="741" t="e">
        <f t="shared" si="308"/>
        <v>#REF!</v>
      </c>
    </row>
    <row r="425" spans="1:15" s="298" customFormat="1" ht="17.100000000000001" hidden="1" customHeight="1">
      <c r="A425" s="736" t="e">
        <f t="shared" si="314"/>
        <v>#REF!</v>
      </c>
      <c r="B425" s="296" t="s">
        <v>596</v>
      </c>
      <c r="C425" s="296" t="s">
        <v>722</v>
      </c>
      <c r="D425" s="297" t="s">
        <v>9</v>
      </c>
      <c r="E425" s="788"/>
      <c r="F425" s="738" t="e">
        <f>#REF!</f>
        <v>#REF!</v>
      </c>
      <c r="G425" s="738" t="e">
        <f>#REF!</f>
        <v>#REF!</v>
      </c>
      <c r="H425" s="738" t="e">
        <f>#REF!</f>
        <v>#REF!</v>
      </c>
      <c r="I425" s="739" t="e">
        <f t="shared" ref="I425" si="332">E425*F425</f>
        <v>#REF!</v>
      </c>
      <c r="J425" s="739" t="e">
        <f t="shared" ref="J425" si="333">E425*G425</f>
        <v>#REF!</v>
      </c>
      <c r="K425" s="740" t="e">
        <f t="shared" si="331"/>
        <v>#REF!</v>
      </c>
      <c r="L425" s="735" t="e">
        <f t="shared" si="315"/>
        <v>#REF!</v>
      </c>
      <c r="N425" s="741" t="e">
        <f t="shared" si="307"/>
        <v>#REF!</v>
      </c>
      <c r="O425" s="741" t="e">
        <f t="shared" si="308"/>
        <v>#REF!</v>
      </c>
    </row>
    <row r="426" spans="1:15" s="298" customFormat="1" ht="17.100000000000001" hidden="1" customHeight="1">
      <c r="A426" s="736" t="e">
        <f t="shared" si="314"/>
        <v>#REF!</v>
      </c>
      <c r="B426" s="296" t="s">
        <v>669</v>
      </c>
      <c r="C426" s="296" t="s">
        <v>1553</v>
      </c>
      <c r="D426" s="297" t="s">
        <v>671</v>
      </c>
      <c r="E426" s="788"/>
      <c r="F426" s="738" t="e">
        <f>#REF!</f>
        <v>#REF!</v>
      </c>
      <c r="G426" s="738" t="e">
        <f>#REF!</f>
        <v>#REF!</v>
      </c>
      <c r="H426" s="738" t="e">
        <f>#REF!</f>
        <v>#REF!</v>
      </c>
      <c r="I426" s="739" t="e">
        <f t="shared" si="329"/>
        <v>#REF!</v>
      </c>
      <c r="J426" s="739" t="e">
        <f t="shared" si="330"/>
        <v>#REF!</v>
      </c>
      <c r="K426" s="740" t="e">
        <f t="shared" si="331"/>
        <v>#REF!</v>
      </c>
      <c r="L426" s="735" t="e">
        <f t="shared" si="315"/>
        <v>#REF!</v>
      </c>
      <c r="N426" s="741" t="e">
        <f t="shared" si="307"/>
        <v>#REF!</v>
      </c>
      <c r="O426" s="741" t="e">
        <f t="shared" si="308"/>
        <v>#REF!</v>
      </c>
    </row>
    <row r="427" spans="1:15" s="298" customFormat="1" ht="17.100000000000001" hidden="1" customHeight="1">
      <c r="A427" s="736" t="e">
        <f t="shared" si="314"/>
        <v>#REF!</v>
      </c>
      <c r="B427" s="296" t="s">
        <v>674</v>
      </c>
      <c r="C427" s="296" t="s">
        <v>675</v>
      </c>
      <c r="D427" s="297" t="s">
        <v>676</v>
      </c>
      <c r="E427" s="788"/>
      <c r="F427" s="738"/>
      <c r="G427" s="738" t="e">
        <f>#REF!</f>
        <v>#REF!</v>
      </c>
      <c r="H427" s="738" t="e">
        <f>#REF!</f>
        <v>#REF!</v>
      </c>
      <c r="I427" s="739">
        <f t="shared" si="329"/>
        <v>0</v>
      </c>
      <c r="J427" s="739" t="e">
        <f t="shared" si="330"/>
        <v>#REF!</v>
      </c>
      <c r="K427" s="740" t="e">
        <f t="shared" si="331"/>
        <v>#REF!</v>
      </c>
      <c r="L427" s="735" t="e">
        <f t="shared" si="315"/>
        <v>#REF!</v>
      </c>
      <c r="N427" s="741" t="e">
        <f t="shared" si="307"/>
        <v>#REF!</v>
      </c>
      <c r="O427" s="741" t="e">
        <f t="shared" si="308"/>
        <v>#REF!</v>
      </c>
    </row>
    <row r="428" spans="1:15" s="298" customFormat="1" ht="17.100000000000001" hidden="1" customHeight="1">
      <c r="A428" s="736" t="e">
        <f t="shared" si="314"/>
        <v>#REF!</v>
      </c>
      <c r="B428" s="296" t="s">
        <v>677</v>
      </c>
      <c r="C428" s="296" t="s">
        <v>678</v>
      </c>
      <c r="D428" s="297" t="s">
        <v>671</v>
      </c>
      <c r="E428" s="788"/>
      <c r="F428" s="738"/>
      <c r="G428" s="738" t="e">
        <f>#REF!</f>
        <v>#REF!</v>
      </c>
      <c r="H428" s="738"/>
      <c r="I428" s="739">
        <f t="shared" si="329"/>
        <v>0</v>
      </c>
      <c r="J428" s="739" t="e">
        <f t="shared" si="330"/>
        <v>#REF!</v>
      </c>
      <c r="K428" s="740">
        <f t="shared" si="331"/>
        <v>0</v>
      </c>
      <c r="L428" s="735" t="e">
        <f t="shared" si="315"/>
        <v>#REF!</v>
      </c>
      <c r="N428" s="741" t="e">
        <f t="shared" si="307"/>
        <v>#REF!</v>
      </c>
      <c r="O428" s="741" t="e">
        <f t="shared" si="308"/>
        <v>#REF!</v>
      </c>
    </row>
    <row r="429" spans="1:15" s="298" customFormat="1" ht="17.100000000000001" hidden="1" customHeight="1">
      <c r="A429" s="736" t="e">
        <f t="shared" si="314"/>
        <v>#REF!</v>
      </c>
      <c r="B429" s="296" t="s">
        <v>679</v>
      </c>
      <c r="C429" s="296" t="s">
        <v>680</v>
      </c>
      <c r="D429" s="297" t="s">
        <v>88</v>
      </c>
      <c r="E429" s="788"/>
      <c r="F429" s="738"/>
      <c r="G429" s="738"/>
      <c r="H429" s="738" t="e">
        <f>#REF!</f>
        <v>#REF!</v>
      </c>
      <c r="I429" s="739">
        <f t="shared" si="329"/>
        <v>0</v>
      </c>
      <c r="J429" s="739">
        <f t="shared" si="330"/>
        <v>0</v>
      </c>
      <c r="K429" s="740" t="e">
        <f t="shared" si="331"/>
        <v>#REF!</v>
      </c>
      <c r="L429" s="735" t="e">
        <f t="shared" si="315"/>
        <v>#REF!</v>
      </c>
      <c r="N429" s="741" t="e">
        <f t="shared" si="307"/>
        <v>#REF!</v>
      </c>
      <c r="O429" s="741" t="e">
        <f t="shared" si="308"/>
        <v>#REF!</v>
      </c>
    </row>
    <row r="430" spans="1:15" s="298" customFormat="1" ht="17.100000000000001" hidden="1" customHeight="1">
      <c r="A430" s="736" t="e">
        <f t="shared" si="314"/>
        <v>#REF!</v>
      </c>
      <c r="B430" s="296" t="s">
        <v>723</v>
      </c>
      <c r="C430" s="296" t="s">
        <v>724</v>
      </c>
      <c r="D430" s="297" t="s">
        <v>82</v>
      </c>
      <c r="E430" s="788"/>
      <c r="F430" s="738"/>
      <c r="G430" s="738" t="e">
        <f>#REF!</f>
        <v>#REF!</v>
      </c>
      <c r="H430" s="738"/>
      <c r="I430" s="739">
        <f t="shared" ref="I430:I432" si="334">E430*F430</f>
        <v>0</v>
      </c>
      <c r="J430" s="739" t="e">
        <f t="shared" ref="J430:J432" si="335">E430*G430</f>
        <v>#REF!</v>
      </c>
      <c r="K430" s="740">
        <f t="shared" si="331"/>
        <v>0</v>
      </c>
      <c r="L430" s="735" t="e">
        <f t="shared" si="315"/>
        <v>#REF!</v>
      </c>
      <c r="N430" s="741" t="e">
        <f t="shared" si="307"/>
        <v>#REF!</v>
      </c>
      <c r="O430" s="741" t="e">
        <f t="shared" si="308"/>
        <v>#REF!</v>
      </c>
    </row>
    <row r="431" spans="1:15" s="298" customFormat="1" ht="17.100000000000001" hidden="1" customHeight="1">
      <c r="A431" s="736" t="e">
        <f t="shared" si="314"/>
        <v>#REF!</v>
      </c>
      <c r="B431" s="296" t="s">
        <v>1554</v>
      </c>
      <c r="C431" s="296" t="s">
        <v>725</v>
      </c>
      <c r="D431" s="297" t="s">
        <v>2</v>
      </c>
      <c r="E431" s="788"/>
      <c r="F431" s="738" t="e">
        <f>#REF!</f>
        <v>#REF!</v>
      </c>
      <c r="G431" s="738" t="e">
        <f>#REF!</f>
        <v>#REF!</v>
      </c>
      <c r="H431" s="738" t="e">
        <f>#REF!</f>
        <v>#REF!</v>
      </c>
      <c r="I431" s="739" t="e">
        <f t="shared" si="334"/>
        <v>#REF!</v>
      </c>
      <c r="J431" s="739" t="e">
        <f t="shared" si="335"/>
        <v>#REF!</v>
      </c>
      <c r="K431" s="740" t="e">
        <f t="shared" si="331"/>
        <v>#REF!</v>
      </c>
      <c r="L431" s="735" t="e">
        <f t="shared" si="315"/>
        <v>#REF!</v>
      </c>
      <c r="N431" s="741" t="e">
        <f t="shared" si="307"/>
        <v>#REF!</v>
      </c>
      <c r="O431" s="741" t="e">
        <f t="shared" si="308"/>
        <v>#REF!</v>
      </c>
    </row>
    <row r="432" spans="1:15" s="298" customFormat="1" ht="28.5" hidden="1">
      <c r="A432" s="736" t="e">
        <f t="shared" si="314"/>
        <v>#REF!</v>
      </c>
      <c r="B432" s="296" t="s">
        <v>598</v>
      </c>
      <c r="C432" s="743" t="s">
        <v>1657</v>
      </c>
      <c r="D432" s="297" t="s">
        <v>2</v>
      </c>
      <c r="E432" s="788"/>
      <c r="F432" s="738" t="e">
        <f>#REF!</f>
        <v>#REF!</v>
      </c>
      <c r="G432" s="738"/>
      <c r="H432" s="738"/>
      <c r="I432" s="739" t="e">
        <f t="shared" si="334"/>
        <v>#REF!</v>
      </c>
      <c r="J432" s="739">
        <f t="shared" si="335"/>
        <v>0</v>
      </c>
      <c r="K432" s="740">
        <f t="shared" si="331"/>
        <v>0</v>
      </c>
      <c r="L432" s="735" t="e">
        <f t="shared" si="315"/>
        <v>#REF!</v>
      </c>
      <c r="N432" s="741" t="e">
        <f t="shared" si="307"/>
        <v>#REF!</v>
      </c>
      <c r="O432" s="741" t="e">
        <f t="shared" si="308"/>
        <v>#REF!</v>
      </c>
    </row>
    <row r="433" spans="1:15" s="298" customFormat="1" ht="17.100000000000001" hidden="1" customHeight="1">
      <c r="A433" s="736" t="e">
        <f t="shared" si="314"/>
        <v>#REF!</v>
      </c>
      <c r="B433" s="296" t="s">
        <v>610</v>
      </c>
      <c r="C433" s="296" t="s">
        <v>726</v>
      </c>
      <c r="D433" s="297" t="s">
        <v>2</v>
      </c>
      <c r="E433" s="788"/>
      <c r="F433" s="738"/>
      <c r="G433" s="738" t="e">
        <f>#REF!</f>
        <v>#REF!</v>
      </c>
      <c r="H433" s="738" t="e">
        <f>#REF!</f>
        <v>#REF!</v>
      </c>
      <c r="I433" s="739">
        <f t="shared" ref="I433:I503" si="336">E433*F433</f>
        <v>0</v>
      </c>
      <c r="J433" s="739" t="e">
        <f t="shared" ref="J433:J503" si="337">E433*G433</f>
        <v>#REF!</v>
      </c>
      <c r="K433" s="740" t="e">
        <f t="shared" si="331"/>
        <v>#REF!</v>
      </c>
      <c r="L433" s="735" t="e">
        <f t="shared" si="315"/>
        <v>#REF!</v>
      </c>
      <c r="N433" s="741" t="e">
        <f t="shared" si="307"/>
        <v>#REF!</v>
      </c>
      <c r="O433" s="741" t="e">
        <f t="shared" si="308"/>
        <v>#REF!</v>
      </c>
    </row>
    <row r="434" spans="1:15" s="298" customFormat="1" ht="17.100000000000001" hidden="1" customHeight="1">
      <c r="A434" s="736" t="e">
        <f t="shared" si="314"/>
        <v>#REF!</v>
      </c>
      <c r="B434" s="296" t="s">
        <v>614</v>
      </c>
      <c r="C434" s="296" t="s">
        <v>727</v>
      </c>
      <c r="D434" s="297" t="s">
        <v>2</v>
      </c>
      <c r="E434" s="788"/>
      <c r="F434" s="738"/>
      <c r="G434" s="738" t="e">
        <f>#REF!</f>
        <v>#REF!</v>
      </c>
      <c r="H434" s="738"/>
      <c r="I434" s="739">
        <f t="shared" si="336"/>
        <v>0</v>
      </c>
      <c r="J434" s="739" t="e">
        <f t="shared" si="337"/>
        <v>#REF!</v>
      </c>
      <c r="K434" s="740">
        <f t="shared" si="331"/>
        <v>0</v>
      </c>
      <c r="L434" s="735" t="e">
        <f t="shared" si="315"/>
        <v>#REF!</v>
      </c>
      <c r="N434" s="741" t="e">
        <f t="shared" si="307"/>
        <v>#REF!</v>
      </c>
      <c r="O434" s="741" t="e">
        <f t="shared" si="308"/>
        <v>#REF!</v>
      </c>
    </row>
    <row r="435" spans="1:15" s="298" customFormat="1" ht="17.100000000000001" customHeight="1">
      <c r="A435" s="838" t="e">
        <f t="shared" si="314"/>
        <v>#REF!</v>
      </c>
      <c r="B435" s="296" t="s">
        <v>1746</v>
      </c>
      <c r="C435" s="737" t="s">
        <v>1771</v>
      </c>
      <c r="D435" s="297" t="s">
        <v>129</v>
      </c>
      <c r="E435" s="833"/>
      <c r="F435" s="738"/>
      <c r="G435" s="738"/>
      <c r="H435" s="738"/>
      <c r="I435" s="739"/>
      <c r="J435" s="739"/>
      <c r="K435" s="740"/>
      <c r="L435" s="735">
        <f>IF(OR(SUM(I435:K435)&lt;&gt;0,B435="*"),$L$5,0)</f>
        <v>1</v>
      </c>
      <c r="N435" s="741">
        <f>SUM(F435:H435)*1.278</f>
        <v>0</v>
      </c>
      <c r="O435" s="741">
        <f>N435*E435</f>
        <v>0</v>
      </c>
    </row>
    <row r="436" spans="1:15" s="298" customFormat="1" ht="17.100000000000001" customHeight="1">
      <c r="A436" s="736" t="e">
        <f t="shared" si="314"/>
        <v>#REF!</v>
      </c>
      <c r="B436" s="296" t="s">
        <v>1555</v>
      </c>
      <c r="C436" s="296" t="s">
        <v>2000</v>
      </c>
      <c r="D436" s="297" t="s">
        <v>2</v>
      </c>
      <c r="E436" s="788"/>
      <c r="F436" s="738" t="e">
        <f>#REF!</f>
        <v>#REF!</v>
      </c>
      <c r="G436" s="738" t="e">
        <f>#REF!</f>
        <v>#REF!</v>
      </c>
      <c r="H436" s="738" t="e">
        <f>#REF!</f>
        <v>#REF!</v>
      </c>
      <c r="I436" s="739" t="e">
        <f>E436*F436</f>
        <v>#REF!</v>
      </c>
      <c r="J436" s="739" t="e">
        <f>E436*G436</f>
        <v>#REF!</v>
      </c>
      <c r="K436" s="740" t="e">
        <f>E436*H436</f>
        <v>#REF!</v>
      </c>
      <c r="L436" s="735" t="e">
        <f>IF(OR(SUM(I436:K436)&lt;&gt;0,B436="*"),$L$5,0)</f>
        <v>#REF!</v>
      </c>
      <c r="N436" s="741" t="e">
        <f>SUM(F436:H436)*1.278</f>
        <v>#REF!</v>
      </c>
      <c r="O436" s="741" t="e">
        <f>N436*E436</f>
        <v>#REF!</v>
      </c>
    </row>
    <row r="437" spans="1:15" s="298" customFormat="1" ht="17.100000000000001" hidden="1" customHeight="1">
      <c r="A437" s="736" t="e">
        <f t="shared" si="314"/>
        <v>#REF!</v>
      </c>
      <c r="B437" s="296" t="s">
        <v>1893</v>
      </c>
      <c r="C437" s="296" t="s">
        <v>1892</v>
      </c>
      <c r="D437" s="297" t="s">
        <v>2</v>
      </c>
      <c r="E437" s="788"/>
      <c r="F437" s="738" t="e">
        <f>#REF!</f>
        <v>#REF!</v>
      </c>
      <c r="G437" s="738" t="e">
        <f>#REF!</f>
        <v>#REF!</v>
      </c>
      <c r="H437" s="738" t="e">
        <f>#REF!</f>
        <v>#REF!</v>
      </c>
      <c r="I437" s="739" t="e">
        <f>E437*F437</f>
        <v>#REF!</v>
      </c>
      <c r="J437" s="739" t="e">
        <f>E437*G437</f>
        <v>#REF!</v>
      </c>
      <c r="K437" s="740" t="e">
        <f>E437*H437</f>
        <v>#REF!</v>
      </c>
      <c r="L437" s="735" t="e">
        <f>IF(OR(SUM(I437:K437)&lt;&gt;0,B437="*"),$L$5,0)</f>
        <v>#REF!</v>
      </c>
      <c r="N437" s="741" t="e">
        <f>SUM(F437:H437)*1.278</f>
        <v>#REF!</v>
      </c>
      <c r="O437" s="741" t="e">
        <f>N437*E437</f>
        <v>#REF!</v>
      </c>
    </row>
    <row r="438" spans="1:15" s="298" customFormat="1" ht="17.100000000000001" customHeight="1">
      <c r="A438" s="736" t="e">
        <f t="shared" si="314"/>
        <v>#REF!</v>
      </c>
      <c r="B438" s="296" t="s">
        <v>547</v>
      </c>
      <c r="C438" s="296" t="s">
        <v>85</v>
      </c>
      <c r="D438" s="297" t="s">
        <v>9</v>
      </c>
      <c r="E438" s="788"/>
      <c r="F438" s="738" t="e">
        <f>#REF!</f>
        <v>#REF!</v>
      </c>
      <c r="G438" s="738" t="e">
        <f>#REF!</f>
        <v>#REF!</v>
      </c>
      <c r="H438" s="738" t="e">
        <f>#REF!</f>
        <v>#REF!</v>
      </c>
      <c r="I438" s="739" t="e">
        <f>E438*F438</f>
        <v>#REF!</v>
      </c>
      <c r="J438" s="739" t="e">
        <f>E438*G438</f>
        <v>#REF!</v>
      </c>
      <c r="K438" s="740" t="e">
        <f>E438*H438</f>
        <v>#REF!</v>
      </c>
      <c r="L438" s="735" t="e">
        <f>IF(OR(SUM(I438:K438)&lt;&gt;0,B438="*"),$L$5,0)</f>
        <v>#REF!</v>
      </c>
      <c r="N438" s="741" t="e">
        <f>SUM(F438:H438)*1.278</f>
        <v>#REF!</v>
      </c>
      <c r="O438" s="741" t="e">
        <f>N438*E438</f>
        <v>#REF!</v>
      </c>
    </row>
    <row r="439" spans="1:15" s="298" customFormat="1" ht="17.100000000000001" customHeight="1">
      <c r="A439" s="736" t="e">
        <f t="shared" si="314"/>
        <v>#REF!</v>
      </c>
      <c r="B439" s="296" t="s">
        <v>610</v>
      </c>
      <c r="C439" s="296" t="s">
        <v>2001</v>
      </c>
      <c r="D439" s="297" t="s">
        <v>2</v>
      </c>
      <c r="E439" s="788"/>
      <c r="F439" s="738"/>
      <c r="G439" s="738" t="e">
        <f>#REF!</f>
        <v>#REF!</v>
      </c>
      <c r="H439" s="738" t="e">
        <f>#REF!</f>
        <v>#REF!</v>
      </c>
      <c r="I439" s="739">
        <f>E439*F439</f>
        <v>0</v>
      </c>
      <c r="J439" s="739" t="e">
        <f>E439*G439</f>
        <v>#REF!</v>
      </c>
      <c r="K439" s="740" t="e">
        <f>E439*H439</f>
        <v>#REF!</v>
      </c>
      <c r="L439" s="735" t="e">
        <f>IF(OR(SUM(I439:K439)&lt;&gt;0,B439="*"),$L$5,0)</f>
        <v>#REF!</v>
      </c>
      <c r="N439" s="741" t="e">
        <f>SUM(F439:H439)*1.278</f>
        <v>#REF!</v>
      </c>
      <c r="O439" s="741" t="e">
        <f>N439*E439</f>
        <v>#REF!</v>
      </c>
    </row>
    <row r="440" spans="1:15" s="298" customFormat="1" ht="17.100000000000001" hidden="1" customHeight="1">
      <c r="A440" s="736" t="e">
        <f t="shared" si="314"/>
        <v>#REF!</v>
      </c>
      <c r="B440" s="296"/>
      <c r="C440" s="737" t="s">
        <v>1835</v>
      </c>
      <c r="D440" s="297" t="s">
        <v>0</v>
      </c>
      <c r="E440" s="788"/>
      <c r="F440" s="738"/>
      <c r="G440" s="738"/>
      <c r="H440" s="738"/>
      <c r="I440" s="739">
        <f t="shared" si="336"/>
        <v>0</v>
      </c>
      <c r="J440" s="739">
        <f t="shared" si="337"/>
        <v>0</v>
      </c>
      <c r="K440" s="740">
        <f t="shared" si="331"/>
        <v>0</v>
      </c>
      <c r="L440" s="735">
        <f t="shared" si="315"/>
        <v>0</v>
      </c>
      <c r="N440" s="741">
        <f t="shared" ref="N440:N499" si="338">SUM(F440:H440)*1.278</f>
        <v>0</v>
      </c>
      <c r="O440" s="741">
        <f t="shared" si="308"/>
        <v>0</v>
      </c>
    </row>
    <row r="441" spans="1:15" s="298" customFormat="1" ht="17.100000000000001" hidden="1" customHeight="1">
      <c r="A441" s="736" t="e">
        <f t="shared" si="314"/>
        <v>#REF!</v>
      </c>
      <c r="B441" s="296" t="s">
        <v>1567</v>
      </c>
      <c r="C441" s="296" t="s">
        <v>661</v>
      </c>
      <c r="D441" s="297" t="s">
        <v>2</v>
      </c>
      <c r="E441" s="788"/>
      <c r="F441" s="738" t="e">
        <f>#REF!</f>
        <v>#REF!</v>
      </c>
      <c r="G441" s="738" t="e">
        <f>#REF!</f>
        <v>#REF!</v>
      </c>
      <c r="H441" s="738" t="e">
        <f>#REF!</f>
        <v>#REF!</v>
      </c>
      <c r="I441" s="739" t="e">
        <f t="shared" si="336"/>
        <v>#REF!</v>
      </c>
      <c r="J441" s="739" t="e">
        <f t="shared" si="337"/>
        <v>#REF!</v>
      </c>
      <c r="K441" s="740" t="e">
        <f t="shared" si="331"/>
        <v>#REF!</v>
      </c>
      <c r="L441" s="735" t="e">
        <f t="shared" si="315"/>
        <v>#REF!</v>
      </c>
      <c r="N441" s="741" t="e">
        <f t="shared" si="338"/>
        <v>#REF!</v>
      </c>
      <c r="O441" s="741" t="e">
        <f t="shared" si="308"/>
        <v>#REF!</v>
      </c>
    </row>
    <row r="442" spans="1:15" s="298" customFormat="1" ht="17.100000000000001" hidden="1" customHeight="1">
      <c r="A442" s="736" t="e">
        <f t="shared" si="314"/>
        <v>#REF!</v>
      </c>
      <c r="B442" s="296" t="s">
        <v>84</v>
      </c>
      <c r="C442" s="296" t="s">
        <v>85</v>
      </c>
      <c r="D442" s="297" t="s">
        <v>9</v>
      </c>
      <c r="E442" s="788"/>
      <c r="F442" s="738" t="e">
        <f>#REF!</f>
        <v>#REF!</v>
      </c>
      <c r="G442" s="738" t="e">
        <f>#REF!</f>
        <v>#REF!</v>
      </c>
      <c r="H442" s="738" t="e">
        <f>#REF!</f>
        <v>#REF!</v>
      </c>
      <c r="I442" s="739" t="e">
        <f t="shared" si="336"/>
        <v>#REF!</v>
      </c>
      <c r="J442" s="739" t="e">
        <f t="shared" si="337"/>
        <v>#REF!</v>
      </c>
      <c r="K442" s="740" t="e">
        <f t="shared" si="331"/>
        <v>#REF!</v>
      </c>
      <c r="L442" s="735" t="e">
        <f t="shared" si="315"/>
        <v>#REF!</v>
      </c>
      <c r="N442" s="741" t="e">
        <f t="shared" si="338"/>
        <v>#REF!</v>
      </c>
      <c r="O442" s="741" t="e">
        <f t="shared" si="308"/>
        <v>#REF!</v>
      </c>
    </row>
    <row r="443" spans="1:15" s="298" customFormat="1" ht="17.100000000000001" hidden="1" customHeight="1">
      <c r="A443" s="736" t="e">
        <f t="shared" si="314"/>
        <v>#REF!</v>
      </c>
      <c r="B443" s="296" t="s">
        <v>62</v>
      </c>
      <c r="C443" s="296" t="s">
        <v>662</v>
      </c>
      <c r="D443" s="297" t="s">
        <v>59</v>
      </c>
      <c r="E443" s="788"/>
      <c r="F443" s="738" t="e">
        <f>#REF!</f>
        <v>#REF!</v>
      </c>
      <c r="G443" s="738" t="e">
        <f>#REF!</f>
        <v>#REF!</v>
      </c>
      <c r="H443" s="738" t="e">
        <f>#REF!</f>
        <v>#REF!</v>
      </c>
      <c r="I443" s="739" t="e">
        <f t="shared" si="336"/>
        <v>#REF!</v>
      </c>
      <c r="J443" s="739" t="e">
        <f t="shared" si="337"/>
        <v>#REF!</v>
      </c>
      <c r="K443" s="740" t="e">
        <f t="shared" si="331"/>
        <v>#REF!</v>
      </c>
      <c r="L443" s="735" t="e">
        <f t="shared" si="315"/>
        <v>#REF!</v>
      </c>
      <c r="N443" s="741" t="e">
        <f t="shared" si="338"/>
        <v>#REF!</v>
      </c>
      <c r="O443" s="741" t="e">
        <f t="shared" si="308"/>
        <v>#REF!</v>
      </c>
    </row>
    <row r="444" spans="1:15" s="298" customFormat="1" ht="17.100000000000001" hidden="1" customHeight="1">
      <c r="A444" s="736" t="e">
        <f t="shared" si="314"/>
        <v>#REF!</v>
      </c>
      <c r="B444" s="296" t="s">
        <v>663</v>
      </c>
      <c r="C444" s="296" t="s">
        <v>664</v>
      </c>
      <c r="D444" s="297" t="s">
        <v>59</v>
      </c>
      <c r="E444" s="788"/>
      <c r="F444" s="738" t="e">
        <f>#REF!</f>
        <v>#REF!</v>
      </c>
      <c r="G444" s="738" t="e">
        <f>#REF!</f>
        <v>#REF!</v>
      </c>
      <c r="H444" s="738" t="e">
        <f>#REF!</f>
        <v>#REF!</v>
      </c>
      <c r="I444" s="739" t="e">
        <f t="shared" si="336"/>
        <v>#REF!</v>
      </c>
      <c r="J444" s="739" t="e">
        <f t="shared" si="337"/>
        <v>#REF!</v>
      </c>
      <c r="K444" s="740" t="e">
        <f t="shared" si="331"/>
        <v>#REF!</v>
      </c>
      <c r="L444" s="735" t="e">
        <f t="shared" si="315"/>
        <v>#REF!</v>
      </c>
      <c r="N444" s="741" t="e">
        <f t="shared" si="338"/>
        <v>#REF!</v>
      </c>
      <c r="O444" s="741" t="e">
        <f t="shared" si="308"/>
        <v>#REF!</v>
      </c>
    </row>
    <row r="445" spans="1:15" s="298" customFormat="1" ht="17.100000000000001" hidden="1" customHeight="1">
      <c r="A445" s="736" t="e">
        <f t="shared" si="314"/>
        <v>#REF!</v>
      </c>
      <c r="B445" s="296" t="s">
        <v>595</v>
      </c>
      <c r="C445" s="296" t="s">
        <v>1869</v>
      </c>
      <c r="D445" s="297" t="s">
        <v>667</v>
      </c>
      <c r="E445" s="788"/>
      <c r="F445" s="738" t="e">
        <f>#REF!</f>
        <v>#REF!</v>
      </c>
      <c r="G445" s="738" t="e">
        <f>#REF!</f>
        <v>#REF!</v>
      </c>
      <c r="H445" s="738" t="e">
        <f>#REF!</f>
        <v>#REF!</v>
      </c>
      <c r="I445" s="739" t="e">
        <f t="shared" si="336"/>
        <v>#REF!</v>
      </c>
      <c r="J445" s="739" t="e">
        <f t="shared" si="337"/>
        <v>#REF!</v>
      </c>
      <c r="K445" s="740" t="e">
        <f t="shared" si="331"/>
        <v>#REF!</v>
      </c>
      <c r="L445" s="735" t="e">
        <f t="shared" si="315"/>
        <v>#REF!</v>
      </c>
      <c r="N445" s="741" t="e">
        <f t="shared" si="338"/>
        <v>#REF!</v>
      </c>
      <c r="O445" s="741" t="e">
        <f t="shared" si="308"/>
        <v>#REF!</v>
      </c>
    </row>
    <row r="446" spans="1:15" s="298" customFormat="1" ht="17.100000000000001" hidden="1" customHeight="1">
      <c r="A446" s="736" t="e">
        <f t="shared" si="314"/>
        <v>#REF!</v>
      </c>
      <c r="B446" s="296" t="s">
        <v>596</v>
      </c>
      <c r="C446" s="296" t="s">
        <v>668</v>
      </c>
      <c r="D446" s="297" t="s">
        <v>9</v>
      </c>
      <c r="E446" s="788"/>
      <c r="F446" s="738" t="e">
        <f>#REF!</f>
        <v>#REF!</v>
      </c>
      <c r="G446" s="738" t="e">
        <f>#REF!</f>
        <v>#REF!</v>
      </c>
      <c r="H446" s="738" t="e">
        <f>#REF!</f>
        <v>#REF!</v>
      </c>
      <c r="I446" s="739" t="e">
        <f t="shared" si="336"/>
        <v>#REF!</v>
      </c>
      <c r="J446" s="739" t="e">
        <f t="shared" si="337"/>
        <v>#REF!</v>
      </c>
      <c r="K446" s="740" t="e">
        <f t="shared" si="331"/>
        <v>#REF!</v>
      </c>
      <c r="L446" s="735" t="e">
        <f t="shared" si="315"/>
        <v>#REF!</v>
      </c>
      <c r="N446" s="741" t="e">
        <f t="shared" si="338"/>
        <v>#REF!</v>
      </c>
      <c r="O446" s="741" t="e">
        <f t="shared" si="308"/>
        <v>#REF!</v>
      </c>
    </row>
    <row r="447" spans="1:15" s="298" customFormat="1" ht="17.100000000000001" hidden="1" customHeight="1">
      <c r="A447" s="736" t="e">
        <f t="shared" si="314"/>
        <v>#REF!</v>
      </c>
      <c r="B447" s="296" t="s">
        <v>669</v>
      </c>
      <c r="C447" s="296" t="s">
        <v>670</v>
      </c>
      <c r="D447" s="297" t="s">
        <v>671</v>
      </c>
      <c r="E447" s="788"/>
      <c r="F447" s="738" t="e">
        <f>#REF!</f>
        <v>#REF!</v>
      </c>
      <c r="G447" s="738" t="e">
        <f>#REF!</f>
        <v>#REF!</v>
      </c>
      <c r="H447" s="738" t="e">
        <f>#REF!</f>
        <v>#REF!</v>
      </c>
      <c r="I447" s="739" t="e">
        <f t="shared" si="336"/>
        <v>#REF!</v>
      </c>
      <c r="J447" s="739" t="e">
        <f t="shared" si="337"/>
        <v>#REF!</v>
      </c>
      <c r="K447" s="740" t="e">
        <f t="shared" si="331"/>
        <v>#REF!</v>
      </c>
      <c r="L447" s="735" t="e">
        <f t="shared" si="315"/>
        <v>#REF!</v>
      </c>
      <c r="N447" s="741" t="e">
        <f t="shared" si="338"/>
        <v>#REF!</v>
      </c>
      <c r="O447" s="741" t="e">
        <f t="shared" si="308"/>
        <v>#REF!</v>
      </c>
    </row>
    <row r="448" spans="1:15" s="298" customFormat="1" ht="17.100000000000001" hidden="1" customHeight="1">
      <c r="A448" s="736" t="e">
        <f t="shared" si="314"/>
        <v>#REF!</v>
      </c>
      <c r="B448" s="296" t="s">
        <v>672</v>
      </c>
      <c r="C448" s="296" t="s">
        <v>673</v>
      </c>
      <c r="D448" s="297" t="s">
        <v>310</v>
      </c>
      <c r="E448" s="788"/>
      <c r="F448" s="738" t="e">
        <f>#REF!</f>
        <v>#REF!</v>
      </c>
      <c r="G448" s="738"/>
      <c r="H448" s="738"/>
      <c r="I448" s="739" t="e">
        <f t="shared" ref="I448:I499" si="339">E448*F448</f>
        <v>#REF!</v>
      </c>
      <c r="J448" s="739">
        <f t="shared" ref="J448:J499" si="340">E448*G448</f>
        <v>0</v>
      </c>
      <c r="K448" s="740">
        <f t="shared" si="331"/>
        <v>0</v>
      </c>
      <c r="L448" s="735" t="e">
        <f t="shared" si="315"/>
        <v>#REF!</v>
      </c>
      <c r="N448" s="741" t="e">
        <f t="shared" si="338"/>
        <v>#REF!</v>
      </c>
      <c r="O448" s="741" t="e">
        <f t="shared" si="308"/>
        <v>#REF!</v>
      </c>
    </row>
    <row r="449" spans="1:15" s="298" customFormat="1" ht="17.100000000000001" hidden="1" customHeight="1">
      <c r="A449" s="736" t="e">
        <f t="shared" si="314"/>
        <v>#REF!</v>
      </c>
      <c r="B449" s="296" t="s">
        <v>674</v>
      </c>
      <c r="C449" s="296" t="s">
        <v>675</v>
      </c>
      <c r="D449" s="297" t="s">
        <v>676</v>
      </c>
      <c r="E449" s="788"/>
      <c r="F449" s="738"/>
      <c r="G449" s="738" t="e">
        <f>#REF!</f>
        <v>#REF!</v>
      </c>
      <c r="H449" s="738" t="e">
        <f>#REF!</f>
        <v>#REF!</v>
      </c>
      <c r="I449" s="739">
        <f t="shared" si="339"/>
        <v>0</v>
      </c>
      <c r="J449" s="739" t="e">
        <f t="shared" si="340"/>
        <v>#REF!</v>
      </c>
      <c r="K449" s="740" t="e">
        <f t="shared" si="331"/>
        <v>#REF!</v>
      </c>
      <c r="L449" s="735" t="e">
        <f t="shared" si="315"/>
        <v>#REF!</v>
      </c>
      <c r="N449" s="741" t="e">
        <f t="shared" si="338"/>
        <v>#REF!</v>
      </c>
      <c r="O449" s="741" t="e">
        <f t="shared" si="308"/>
        <v>#REF!</v>
      </c>
    </row>
    <row r="450" spans="1:15" s="298" customFormat="1" ht="17.100000000000001" hidden="1" customHeight="1">
      <c r="A450" s="736" t="e">
        <f t="shared" si="314"/>
        <v>#REF!</v>
      </c>
      <c r="B450" s="296" t="s">
        <v>677</v>
      </c>
      <c r="C450" s="296" t="s">
        <v>678</v>
      </c>
      <c r="D450" s="297" t="s">
        <v>671</v>
      </c>
      <c r="E450" s="788"/>
      <c r="F450" s="738"/>
      <c r="G450" s="738" t="e">
        <f>#REF!</f>
        <v>#REF!</v>
      </c>
      <c r="H450" s="738"/>
      <c r="I450" s="739">
        <f t="shared" si="339"/>
        <v>0</v>
      </c>
      <c r="J450" s="739" t="e">
        <f t="shared" si="340"/>
        <v>#REF!</v>
      </c>
      <c r="K450" s="740">
        <f t="shared" si="331"/>
        <v>0</v>
      </c>
      <c r="L450" s="735" t="e">
        <f t="shared" si="315"/>
        <v>#REF!</v>
      </c>
      <c r="N450" s="741" t="e">
        <f t="shared" si="338"/>
        <v>#REF!</v>
      </c>
      <c r="O450" s="741" t="e">
        <f t="shared" si="308"/>
        <v>#REF!</v>
      </c>
    </row>
    <row r="451" spans="1:15" s="298" customFormat="1" ht="17.100000000000001" hidden="1" customHeight="1">
      <c r="A451" s="736" t="e">
        <f t="shared" si="314"/>
        <v>#REF!</v>
      </c>
      <c r="B451" s="296" t="s">
        <v>679</v>
      </c>
      <c r="C451" s="296" t="s">
        <v>680</v>
      </c>
      <c r="D451" s="297" t="s">
        <v>88</v>
      </c>
      <c r="E451" s="788"/>
      <c r="F451" s="738"/>
      <c r="G451" s="738"/>
      <c r="H451" s="738" t="e">
        <f>#REF!</f>
        <v>#REF!</v>
      </c>
      <c r="I451" s="739">
        <f t="shared" si="339"/>
        <v>0</v>
      </c>
      <c r="J451" s="739">
        <f t="shared" si="340"/>
        <v>0</v>
      </c>
      <c r="K451" s="740" t="e">
        <f t="shared" si="331"/>
        <v>#REF!</v>
      </c>
      <c r="L451" s="735" t="e">
        <f t="shared" si="315"/>
        <v>#REF!</v>
      </c>
      <c r="N451" s="741" t="e">
        <f t="shared" si="338"/>
        <v>#REF!</v>
      </c>
      <c r="O451" s="741" t="e">
        <f t="shared" si="308"/>
        <v>#REF!</v>
      </c>
    </row>
    <row r="452" spans="1:15" s="298" customFormat="1" ht="17.100000000000001" hidden="1" customHeight="1">
      <c r="A452" s="736" t="e">
        <f t="shared" si="314"/>
        <v>#REF!</v>
      </c>
      <c r="B452" s="296" t="s">
        <v>681</v>
      </c>
      <c r="C452" s="296" t="s">
        <v>682</v>
      </c>
      <c r="D452" s="297" t="s">
        <v>683</v>
      </c>
      <c r="E452" s="788"/>
      <c r="F452" s="738"/>
      <c r="G452" s="738" t="e">
        <f>#REF!</f>
        <v>#REF!</v>
      </c>
      <c r="H452" s="738" t="e">
        <f>#REF!</f>
        <v>#REF!</v>
      </c>
      <c r="I452" s="739">
        <f t="shared" si="339"/>
        <v>0</v>
      </c>
      <c r="J452" s="739" t="e">
        <f t="shared" si="340"/>
        <v>#REF!</v>
      </c>
      <c r="K452" s="740" t="e">
        <f t="shared" si="331"/>
        <v>#REF!</v>
      </c>
      <c r="L452" s="735" t="e">
        <f t="shared" si="315"/>
        <v>#REF!</v>
      </c>
      <c r="N452" s="741" t="e">
        <f t="shared" si="338"/>
        <v>#REF!</v>
      </c>
      <c r="O452" s="741" t="e">
        <f t="shared" si="308"/>
        <v>#REF!</v>
      </c>
    </row>
    <row r="453" spans="1:15" s="298" customFormat="1" ht="17.100000000000001" hidden="1" customHeight="1">
      <c r="A453" s="736" t="e">
        <f t="shared" si="314"/>
        <v>#REF!</v>
      </c>
      <c r="B453" s="296" t="s">
        <v>684</v>
      </c>
      <c r="C453" s="296" t="s">
        <v>685</v>
      </c>
      <c r="D453" s="297" t="s">
        <v>82</v>
      </c>
      <c r="E453" s="788"/>
      <c r="F453" s="738"/>
      <c r="G453" s="738" t="e">
        <f>#REF!</f>
        <v>#REF!</v>
      </c>
      <c r="H453" s="738" t="e">
        <f>#REF!</f>
        <v>#REF!</v>
      </c>
      <c r="I453" s="739">
        <f t="shared" si="339"/>
        <v>0</v>
      </c>
      <c r="J453" s="739" t="e">
        <f t="shared" si="340"/>
        <v>#REF!</v>
      </c>
      <c r="K453" s="740" t="e">
        <f t="shared" si="331"/>
        <v>#REF!</v>
      </c>
      <c r="L453" s="735" t="e">
        <f t="shared" si="315"/>
        <v>#REF!</v>
      </c>
      <c r="N453" s="741" t="e">
        <f t="shared" si="338"/>
        <v>#REF!</v>
      </c>
      <c r="O453" s="741" t="e">
        <f t="shared" si="308"/>
        <v>#REF!</v>
      </c>
    </row>
    <row r="454" spans="1:15" s="298" customFormat="1" ht="17.100000000000001" hidden="1" customHeight="1">
      <c r="A454" s="736" t="e">
        <f t="shared" si="314"/>
        <v>#REF!</v>
      </c>
      <c r="B454" s="296" t="s">
        <v>660</v>
      </c>
      <c r="C454" s="296" t="s">
        <v>1705</v>
      </c>
      <c r="D454" s="297" t="s">
        <v>2</v>
      </c>
      <c r="E454" s="788"/>
      <c r="F454" s="738" t="e">
        <f>#REF!</f>
        <v>#REF!</v>
      </c>
      <c r="G454" s="738" t="e">
        <f>#REF!</f>
        <v>#REF!</v>
      </c>
      <c r="H454" s="738" t="e">
        <f>#REF!</f>
        <v>#REF!</v>
      </c>
      <c r="I454" s="739" t="e">
        <f t="shared" si="339"/>
        <v>#REF!</v>
      </c>
      <c r="J454" s="739" t="e">
        <f t="shared" si="340"/>
        <v>#REF!</v>
      </c>
      <c r="K454" s="740" t="e">
        <f t="shared" si="331"/>
        <v>#REF!</v>
      </c>
      <c r="L454" s="735" t="e">
        <f t="shared" si="315"/>
        <v>#REF!</v>
      </c>
      <c r="N454" s="741" t="e">
        <f t="shared" si="338"/>
        <v>#REF!</v>
      </c>
      <c r="O454" s="741" t="e">
        <f t="shared" si="308"/>
        <v>#REF!</v>
      </c>
    </row>
    <row r="455" spans="1:15" s="298" customFormat="1" ht="17.100000000000001" hidden="1" customHeight="1">
      <c r="A455" s="736" t="e">
        <f t="shared" si="314"/>
        <v>#REF!</v>
      </c>
      <c r="B455" s="296" t="s">
        <v>84</v>
      </c>
      <c r="C455" s="296" t="s">
        <v>687</v>
      </c>
      <c r="D455" s="297" t="s">
        <v>9</v>
      </c>
      <c r="E455" s="788"/>
      <c r="F455" s="738" t="e">
        <f>#REF!</f>
        <v>#REF!</v>
      </c>
      <c r="G455" s="738" t="e">
        <f>#REF!</f>
        <v>#REF!</v>
      </c>
      <c r="H455" s="738" t="e">
        <f>#REF!</f>
        <v>#REF!</v>
      </c>
      <c r="I455" s="739" t="e">
        <f t="shared" si="339"/>
        <v>#REF!</v>
      </c>
      <c r="J455" s="739" t="e">
        <f t="shared" si="340"/>
        <v>#REF!</v>
      </c>
      <c r="K455" s="740" t="e">
        <f t="shared" si="331"/>
        <v>#REF!</v>
      </c>
      <c r="L455" s="735" t="e">
        <f t="shared" si="315"/>
        <v>#REF!</v>
      </c>
      <c r="N455" s="741" t="e">
        <f t="shared" si="338"/>
        <v>#REF!</v>
      </c>
      <c r="O455" s="741" t="e">
        <f t="shared" si="308"/>
        <v>#REF!</v>
      </c>
    </row>
    <row r="456" spans="1:15" s="298" customFormat="1" ht="17.100000000000001" hidden="1" customHeight="1">
      <c r="A456" s="736" t="e">
        <f t="shared" si="314"/>
        <v>#REF!</v>
      </c>
      <c r="B456" s="296" t="s">
        <v>62</v>
      </c>
      <c r="C456" s="296" t="s">
        <v>688</v>
      </c>
      <c r="D456" s="297" t="s">
        <v>59</v>
      </c>
      <c r="E456" s="788"/>
      <c r="F456" s="738" t="e">
        <f>#REF!</f>
        <v>#REF!</v>
      </c>
      <c r="G456" s="738" t="e">
        <f>#REF!</f>
        <v>#REF!</v>
      </c>
      <c r="H456" s="738" t="e">
        <f>#REF!</f>
        <v>#REF!</v>
      </c>
      <c r="I456" s="739" t="e">
        <f t="shared" si="339"/>
        <v>#REF!</v>
      </c>
      <c r="J456" s="739" t="e">
        <f t="shared" si="340"/>
        <v>#REF!</v>
      </c>
      <c r="K456" s="740" t="e">
        <f t="shared" si="331"/>
        <v>#REF!</v>
      </c>
      <c r="L456" s="735" t="e">
        <f t="shared" si="315"/>
        <v>#REF!</v>
      </c>
      <c r="N456" s="741" t="e">
        <f t="shared" si="338"/>
        <v>#REF!</v>
      </c>
      <c r="O456" s="741" t="e">
        <f t="shared" si="308"/>
        <v>#REF!</v>
      </c>
    </row>
    <row r="457" spans="1:15" s="298" customFormat="1" ht="17.100000000000001" hidden="1" customHeight="1">
      <c r="A457" s="736" t="e">
        <f t="shared" si="314"/>
        <v>#REF!</v>
      </c>
      <c r="B457" s="296" t="s">
        <v>663</v>
      </c>
      <c r="C457" s="296" t="s">
        <v>689</v>
      </c>
      <c r="D457" s="297" t="s">
        <v>59</v>
      </c>
      <c r="E457" s="788"/>
      <c r="F457" s="738" t="e">
        <f>#REF!</f>
        <v>#REF!</v>
      </c>
      <c r="G457" s="738" t="e">
        <f>#REF!</f>
        <v>#REF!</v>
      </c>
      <c r="H457" s="738" t="e">
        <f>#REF!</f>
        <v>#REF!</v>
      </c>
      <c r="I457" s="739" t="e">
        <f t="shared" si="339"/>
        <v>#REF!</v>
      </c>
      <c r="J457" s="739" t="e">
        <f t="shared" si="340"/>
        <v>#REF!</v>
      </c>
      <c r="K457" s="740" t="e">
        <f t="shared" si="331"/>
        <v>#REF!</v>
      </c>
      <c r="L457" s="735" t="e">
        <f t="shared" si="315"/>
        <v>#REF!</v>
      </c>
      <c r="N457" s="741" t="e">
        <f t="shared" si="338"/>
        <v>#REF!</v>
      </c>
      <c r="O457" s="741" t="e">
        <f t="shared" si="308"/>
        <v>#REF!</v>
      </c>
    </row>
    <row r="458" spans="1:15" s="298" customFormat="1" ht="17.100000000000001" hidden="1" customHeight="1">
      <c r="A458" s="736" t="e">
        <f t="shared" si="314"/>
        <v>#REF!</v>
      </c>
      <c r="B458" s="296" t="s">
        <v>690</v>
      </c>
      <c r="C458" s="296" t="s">
        <v>691</v>
      </c>
      <c r="D458" s="297" t="s">
        <v>2</v>
      </c>
      <c r="E458" s="788"/>
      <c r="F458" s="738" t="e">
        <f>#REF!</f>
        <v>#REF!</v>
      </c>
      <c r="G458" s="738" t="e">
        <f>#REF!</f>
        <v>#REF!</v>
      </c>
      <c r="H458" s="738" t="e">
        <f>#REF!</f>
        <v>#REF!</v>
      </c>
      <c r="I458" s="739" t="e">
        <f t="shared" si="339"/>
        <v>#REF!</v>
      </c>
      <c r="J458" s="739" t="e">
        <f t="shared" si="340"/>
        <v>#REF!</v>
      </c>
      <c r="K458" s="740" t="e">
        <f t="shared" si="331"/>
        <v>#REF!</v>
      </c>
      <c r="L458" s="735" t="e">
        <f t="shared" si="315"/>
        <v>#REF!</v>
      </c>
      <c r="N458" s="741" t="e">
        <f t="shared" si="338"/>
        <v>#REF!</v>
      </c>
      <c r="O458" s="741" t="e">
        <f t="shared" si="308"/>
        <v>#REF!</v>
      </c>
    </row>
    <row r="459" spans="1:15" s="298" customFormat="1" ht="17.100000000000001" hidden="1" customHeight="1">
      <c r="A459" s="736" t="e">
        <f t="shared" si="314"/>
        <v>#REF!</v>
      </c>
      <c r="B459" s="296" t="s">
        <v>546</v>
      </c>
      <c r="C459" s="296" t="s">
        <v>1568</v>
      </c>
      <c r="D459" s="297" t="s">
        <v>2</v>
      </c>
      <c r="E459" s="788"/>
      <c r="F459" s="738" t="e">
        <f>#REF!</f>
        <v>#REF!</v>
      </c>
      <c r="G459" s="738" t="e">
        <f>#REF!</f>
        <v>#REF!</v>
      </c>
      <c r="H459" s="738" t="e">
        <f>#REF!</f>
        <v>#REF!</v>
      </c>
      <c r="I459" s="739" t="e">
        <f t="shared" si="339"/>
        <v>#REF!</v>
      </c>
      <c r="J459" s="739" t="e">
        <f t="shared" si="340"/>
        <v>#REF!</v>
      </c>
      <c r="K459" s="740" t="e">
        <f t="shared" si="331"/>
        <v>#REF!</v>
      </c>
      <c r="L459" s="735" t="e">
        <f t="shared" si="315"/>
        <v>#REF!</v>
      </c>
      <c r="N459" s="741" t="e">
        <f t="shared" si="338"/>
        <v>#REF!</v>
      </c>
      <c r="O459" s="741" t="e">
        <f t="shared" si="308"/>
        <v>#REF!</v>
      </c>
    </row>
    <row r="460" spans="1:15" s="298" customFormat="1" ht="17.100000000000001" hidden="1" customHeight="1">
      <c r="A460" s="736" t="e">
        <f t="shared" ref="A460:A523" si="341">IF(SUM(F460:H460)&lt;&gt;0,A459+L460,A459)</f>
        <v>#REF!</v>
      </c>
      <c r="B460" s="296" t="s">
        <v>692</v>
      </c>
      <c r="C460" s="296" t="s">
        <v>1706</v>
      </c>
      <c r="D460" s="297" t="s">
        <v>2</v>
      </c>
      <c r="E460" s="788"/>
      <c r="F460" s="738"/>
      <c r="G460" s="738" t="e">
        <f>#REF!</f>
        <v>#REF!</v>
      </c>
      <c r="H460" s="738" t="e">
        <f>#REF!</f>
        <v>#REF!</v>
      </c>
      <c r="I460" s="739">
        <f t="shared" si="339"/>
        <v>0</v>
      </c>
      <c r="J460" s="739" t="e">
        <f t="shared" si="340"/>
        <v>#REF!</v>
      </c>
      <c r="K460" s="740" t="e">
        <f t="shared" si="331"/>
        <v>#REF!</v>
      </c>
      <c r="L460" s="735" t="e">
        <f t="shared" si="315"/>
        <v>#REF!</v>
      </c>
      <c r="N460" s="741" t="e">
        <f t="shared" si="338"/>
        <v>#REF!</v>
      </c>
      <c r="O460" s="741" t="e">
        <f t="shared" si="308"/>
        <v>#REF!</v>
      </c>
    </row>
    <row r="461" spans="1:15" s="298" customFormat="1" ht="17.100000000000001" hidden="1" customHeight="1">
      <c r="A461" s="736" t="e">
        <f t="shared" si="341"/>
        <v>#REF!</v>
      </c>
      <c r="B461" s="296" t="s">
        <v>694</v>
      </c>
      <c r="C461" s="296" t="s">
        <v>695</v>
      </c>
      <c r="D461" s="297" t="s">
        <v>2</v>
      </c>
      <c r="E461" s="788"/>
      <c r="F461" s="738"/>
      <c r="G461" s="738" t="e">
        <f>#REF!</f>
        <v>#REF!</v>
      </c>
      <c r="H461" s="738"/>
      <c r="I461" s="739">
        <f t="shared" si="339"/>
        <v>0</v>
      </c>
      <c r="J461" s="739" t="e">
        <f t="shared" si="340"/>
        <v>#REF!</v>
      </c>
      <c r="K461" s="740">
        <f t="shared" ref="K461:K492" si="342">E461*H461</f>
        <v>0</v>
      </c>
      <c r="L461" s="735" t="e">
        <f t="shared" si="315"/>
        <v>#REF!</v>
      </c>
      <c r="N461" s="741" t="e">
        <f t="shared" si="338"/>
        <v>#REF!</v>
      </c>
      <c r="O461" s="741" t="e">
        <f t="shared" si="308"/>
        <v>#REF!</v>
      </c>
    </row>
    <row r="462" spans="1:15" s="298" customFormat="1" ht="17.100000000000001" hidden="1" customHeight="1">
      <c r="A462" s="736" t="e">
        <f t="shared" si="341"/>
        <v>#REF!</v>
      </c>
      <c r="B462" s="296" t="s">
        <v>550</v>
      </c>
      <c r="C462" s="296" t="s">
        <v>696</v>
      </c>
      <c r="D462" s="297" t="s">
        <v>2</v>
      </c>
      <c r="E462" s="788"/>
      <c r="F462" s="738"/>
      <c r="G462" s="738" t="e">
        <f>#REF!</f>
        <v>#REF!</v>
      </c>
      <c r="H462" s="738" t="e">
        <f>#REF!</f>
        <v>#REF!</v>
      </c>
      <c r="I462" s="739">
        <f t="shared" si="339"/>
        <v>0</v>
      </c>
      <c r="J462" s="739" t="e">
        <f t="shared" si="340"/>
        <v>#REF!</v>
      </c>
      <c r="K462" s="740" t="e">
        <f t="shared" si="342"/>
        <v>#REF!</v>
      </c>
      <c r="L462" s="735" t="e">
        <f t="shared" si="315"/>
        <v>#REF!</v>
      </c>
      <c r="N462" s="741" t="e">
        <f t="shared" si="338"/>
        <v>#REF!</v>
      </c>
      <c r="O462" s="741" t="e">
        <f t="shared" si="308"/>
        <v>#REF!</v>
      </c>
    </row>
    <row r="463" spans="1:15" s="298" customFormat="1" ht="17.100000000000001" hidden="1" customHeight="1">
      <c r="A463" s="736" t="e">
        <f t="shared" si="341"/>
        <v>#REF!</v>
      </c>
      <c r="B463" s="296"/>
      <c r="C463" s="737" t="s">
        <v>1718</v>
      </c>
      <c r="D463" s="297"/>
      <c r="E463" s="788"/>
      <c r="F463" s="738"/>
      <c r="G463" s="738"/>
      <c r="H463" s="738"/>
      <c r="I463" s="739">
        <f t="shared" si="339"/>
        <v>0</v>
      </c>
      <c r="J463" s="739">
        <f t="shared" si="340"/>
        <v>0</v>
      </c>
      <c r="K463" s="740">
        <f t="shared" si="342"/>
        <v>0</v>
      </c>
      <c r="L463" s="735">
        <f t="shared" si="315"/>
        <v>0</v>
      </c>
      <c r="N463" s="741"/>
      <c r="O463" s="741"/>
    </row>
    <row r="464" spans="1:15" s="298" customFormat="1" ht="17.100000000000001" hidden="1" customHeight="1">
      <c r="A464" s="736" t="e">
        <f t="shared" si="341"/>
        <v>#REF!</v>
      </c>
      <c r="B464" s="296" t="s">
        <v>748</v>
      </c>
      <c r="C464" s="296" t="s">
        <v>1577</v>
      </c>
      <c r="D464" s="297" t="s">
        <v>1757</v>
      </c>
      <c r="E464" s="788"/>
      <c r="F464" s="738" t="e">
        <f>#REF!</f>
        <v>#REF!</v>
      </c>
      <c r="G464" s="738" t="e">
        <f>#REF!</f>
        <v>#REF!</v>
      </c>
      <c r="H464" s="738" t="e">
        <f>#REF!</f>
        <v>#REF!</v>
      </c>
      <c r="I464" s="739" t="e">
        <f t="shared" si="339"/>
        <v>#REF!</v>
      </c>
      <c r="J464" s="739" t="e">
        <f t="shared" si="340"/>
        <v>#REF!</v>
      </c>
      <c r="K464" s="740" t="e">
        <f t="shared" si="342"/>
        <v>#REF!</v>
      </c>
      <c r="L464" s="735" t="e">
        <f t="shared" si="315"/>
        <v>#REF!</v>
      </c>
      <c r="N464" s="741" t="e">
        <f t="shared" ref="N464:N468" si="343">SUM(F464:H464)*1.278</f>
        <v>#REF!</v>
      </c>
      <c r="O464" s="741" t="e">
        <f t="shared" si="308"/>
        <v>#REF!</v>
      </c>
    </row>
    <row r="465" spans="1:15" s="298" customFormat="1" ht="17.100000000000001" hidden="1" customHeight="1">
      <c r="A465" s="736" t="e">
        <f t="shared" si="341"/>
        <v>#REF!</v>
      </c>
      <c r="B465" s="296" t="s">
        <v>755</v>
      </c>
      <c r="C465" s="296" t="s">
        <v>756</v>
      </c>
      <c r="D465" s="297" t="s">
        <v>1716</v>
      </c>
      <c r="E465" s="788"/>
      <c r="F465" s="738" t="e">
        <f>#REF!</f>
        <v>#REF!</v>
      </c>
      <c r="G465" s="738" t="e">
        <f>#REF!</f>
        <v>#REF!</v>
      </c>
      <c r="H465" s="738"/>
      <c r="I465" s="739" t="e">
        <f t="shared" si="339"/>
        <v>#REF!</v>
      </c>
      <c r="J465" s="739" t="e">
        <f t="shared" si="340"/>
        <v>#REF!</v>
      </c>
      <c r="K465" s="740">
        <f t="shared" si="342"/>
        <v>0</v>
      </c>
      <c r="L465" s="735" t="e">
        <f t="shared" si="315"/>
        <v>#REF!</v>
      </c>
      <c r="N465" s="741" t="e">
        <f t="shared" si="343"/>
        <v>#REF!</v>
      </c>
      <c r="O465" s="741" t="e">
        <f t="shared" si="308"/>
        <v>#REF!</v>
      </c>
    </row>
    <row r="466" spans="1:15" s="298" customFormat="1" ht="17.100000000000001" hidden="1" customHeight="1">
      <c r="A466" s="736" t="e">
        <f t="shared" si="341"/>
        <v>#REF!</v>
      </c>
      <c r="B466" s="296" t="s">
        <v>1714</v>
      </c>
      <c r="C466" s="296" t="s">
        <v>1713</v>
      </c>
      <c r="D466" s="297" t="s">
        <v>779</v>
      </c>
      <c r="E466" s="788"/>
      <c r="F466" s="738" t="e">
        <f>#REF!</f>
        <v>#REF!</v>
      </c>
      <c r="G466" s="738"/>
      <c r="H466" s="738"/>
      <c r="I466" s="739" t="e">
        <f t="shared" si="339"/>
        <v>#REF!</v>
      </c>
      <c r="J466" s="739">
        <f t="shared" si="340"/>
        <v>0</v>
      </c>
      <c r="K466" s="740">
        <f t="shared" si="342"/>
        <v>0</v>
      </c>
      <c r="L466" s="735" t="e">
        <f t="shared" si="315"/>
        <v>#REF!</v>
      </c>
      <c r="N466" s="741"/>
      <c r="O466" s="741"/>
    </row>
    <row r="467" spans="1:15" s="298" customFormat="1" ht="17.100000000000001" hidden="1" customHeight="1">
      <c r="A467" s="736" t="e">
        <f t="shared" si="341"/>
        <v>#REF!</v>
      </c>
      <c r="B467" s="296" t="s">
        <v>681</v>
      </c>
      <c r="C467" s="296" t="s">
        <v>1712</v>
      </c>
      <c r="D467" s="297" t="s">
        <v>779</v>
      </c>
      <c r="E467" s="788"/>
      <c r="F467" s="738"/>
      <c r="G467" s="738" t="e">
        <f>#REF!</f>
        <v>#REF!</v>
      </c>
      <c r="H467" s="738" t="e">
        <f>#REF!</f>
        <v>#REF!</v>
      </c>
      <c r="I467" s="739">
        <f t="shared" si="339"/>
        <v>0</v>
      </c>
      <c r="J467" s="739" t="e">
        <f t="shared" si="340"/>
        <v>#REF!</v>
      </c>
      <c r="K467" s="740" t="e">
        <f t="shared" si="342"/>
        <v>#REF!</v>
      </c>
      <c r="L467" s="735" t="e">
        <f t="shared" si="315"/>
        <v>#REF!</v>
      </c>
      <c r="N467" s="741" t="e">
        <f t="shared" si="343"/>
        <v>#REF!</v>
      </c>
      <c r="O467" s="741" t="e">
        <f t="shared" si="308"/>
        <v>#REF!</v>
      </c>
    </row>
    <row r="468" spans="1:15" s="298" customFormat="1" ht="17.100000000000001" hidden="1" customHeight="1">
      <c r="A468" s="736" t="e">
        <f t="shared" si="341"/>
        <v>#REF!</v>
      </c>
      <c r="B468" s="296" t="s">
        <v>692</v>
      </c>
      <c r="C468" s="296" t="s">
        <v>1709</v>
      </c>
      <c r="D468" s="297" t="s">
        <v>2</v>
      </c>
      <c r="E468" s="788"/>
      <c r="F468" s="738"/>
      <c r="G468" s="738" t="e">
        <f>#REF!</f>
        <v>#REF!</v>
      </c>
      <c r="H468" s="738" t="e">
        <f>#REF!</f>
        <v>#REF!</v>
      </c>
      <c r="I468" s="739">
        <f t="shared" si="339"/>
        <v>0</v>
      </c>
      <c r="J468" s="739" t="e">
        <f t="shared" si="340"/>
        <v>#REF!</v>
      </c>
      <c r="K468" s="740" t="e">
        <f t="shared" si="342"/>
        <v>#REF!</v>
      </c>
      <c r="L468" s="735" t="e">
        <f t="shared" si="315"/>
        <v>#REF!</v>
      </c>
      <c r="N468" s="741" t="e">
        <f t="shared" si="343"/>
        <v>#REF!</v>
      </c>
      <c r="O468" s="741" t="e">
        <f t="shared" si="308"/>
        <v>#REF!</v>
      </c>
    </row>
    <row r="469" spans="1:15" s="298" customFormat="1" ht="17.100000000000001" hidden="1" customHeight="1">
      <c r="A469" s="736" t="e">
        <f t="shared" si="341"/>
        <v>#REF!</v>
      </c>
      <c r="B469" s="296" t="s">
        <v>546</v>
      </c>
      <c r="C469" s="296" t="s">
        <v>736</v>
      </c>
      <c r="D469" s="297" t="s">
        <v>2</v>
      </c>
      <c r="E469" s="788"/>
      <c r="F469" s="738" t="e">
        <f>#REF!</f>
        <v>#REF!</v>
      </c>
      <c r="G469" s="738" t="e">
        <f>#REF!</f>
        <v>#REF!</v>
      </c>
      <c r="H469" s="738" t="e">
        <f>#REF!</f>
        <v>#REF!</v>
      </c>
      <c r="I469" s="739" t="e">
        <f t="shared" si="339"/>
        <v>#REF!</v>
      </c>
      <c r="J469" s="739" t="e">
        <f t="shared" si="340"/>
        <v>#REF!</v>
      </c>
      <c r="K469" s="740" t="e">
        <f t="shared" si="342"/>
        <v>#REF!</v>
      </c>
      <c r="L469" s="735" t="e">
        <f t="shared" si="315"/>
        <v>#REF!</v>
      </c>
      <c r="N469" s="741" t="e">
        <f>SUM(F469:H469)*1.278</f>
        <v>#REF!</v>
      </c>
      <c r="O469" s="741" t="e">
        <f>N469*E469</f>
        <v>#REF!</v>
      </c>
    </row>
    <row r="470" spans="1:15" s="298" customFormat="1" ht="17.100000000000001" hidden="1" customHeight="1">
      <c r="A470" s="736" t="e">
        <f t="shared" si="341"/>
        <v>#REF!</v>
      </c>
      <c r="B470" s="296"/>
      <c r="C470" s="737" t="s">
        <v>1719</v>
      </c>
      <c r="D470" s="297" t="s">
        <v>0</v>
      </c>
      <c r="E470" s="788"/>
      <c r="F470" s="738"/>
      <c r="G470" s="738"/>
      <c r="H470" s="738"/>
      <c r="I470" s="739">
        <f t="shared" si="339"/>
        <v>0</v>
      </c>
      <c r="J470" s="739">
        <f t="shared" si="340"/>
        <v>0</v>
      </c>
      <c r="K470" s="740">
        <f t="shared" si="342"/>
        <v>0</v>
      </c>
      <c r="L470" s="735">
        <f t="shared" si="315"/>
        <v>0</v>
      </c>
      <c r="N470" s="741">
        <f t="shared" si="338"/>
        <v>0</v>
      </c>
      <c r="O470" s="741">
        <f t="shared" si="308"/>
        <v>0</v>
      </c>
    </row>
    <row r="471" spans="1:15" s="298" customFormat="1" ht="17.100000000000001" hidden="1" customHeight="1">
      <c r="A471" s="736" t="e">
        <f t="shared" si="341"/>
        <v>#REF!</v>
      </c>
      <c r="B471" s="296" t="s">
        <v>78</v>
      </c>
      <c r="C471" s="296" t="s">
        <v>703</v>
      </c>
      <c r="D471" s="297" t="s">
        <v>2</v>
      </c>
      <c r="E471" s="788"/>
      <c r="F471" s="738" t="e">
        <f>#REF!</f>
        <v>#REF!</v>
      </c>
      <c r="G471" s="738" t="e">
        <f>#REF!</f>
        <v>#REF!</v>
      </c>
      <c r="H471" s="738" t="e">
        <f>#REF!</f>
        <v>#REF!</v>
      </c>
      <c r="I471" s="739" t="e">
        <f t="shared" si="339"/>
        <v>#REF!</v>
      </c>
      <c r="J471" s="739" t="e">
        <f t="shared" si="340"/>
        <v>#REF!</v>
      </c>
      <c r="K471" s="740" t="e">
        <f t="shared" si="342"/>
        <v>#REF!</v>
      </c>
      <c r="L471" s="735" t="e">
        <f t="shared" ref="L471:L540" si="344">IF(OR(SUM(I471:K471)&lt;&gt;0,B471="*"),$L$5,0)</f>
        <v>#REF!</v>
      </c>
      <c r="N471" s="741" t="e">
        <f t="shared" si="338"/>
        <v>#REF!</v>
      </c>
      <c r="O471" s="741" t="e">
        <f t="shared" si="308"/>
        <v>#REF!</v>
      </c>
    </row>
    <row r="472" spans="1:15" s="298" customFormat="1" ht="17.100000000000001" hidden="1" customHeight="1">
      <c r="A472" s="736" t="e">
        <f t="shared" si="341"/>
        <v>#REF!</v>
      </c>
      <c r="B472" s="296" t="s">
        <v>805</v>
      </c>
      <c r="C472" s="296" t="s">
        <v>704</v>
      </c>
      <c r="D472" s="297" t="s">
        <v>2</v>
      </c>
      <c r="E472" s="788"/>
      <c r="F472" s="738" t="e">
        <f>#REF!</f>
        <v>#REF!</v>
      </c>
      <c r="G472" s="738" t="e">
        <f>#REF!</f>
        <v>#REF!</v>
      </c>
      <c r="H472" s="738" t="e">
        <f>#REF!</f>
        <v>#REF!</v>
      </c>
      <c r="I472" s="739" t="e">
        <f t="shared" si="339"/>
        <v>#REF!</v>
      </c>
      <c r="J472" s="739" t="e">
        <f t="shared" si="340"/>
        <v>#REF!</v>
      </c>
      <c r="K472" s="740" t="e">
        <f t="shared" si="342"/>
        <v>#REF!</v>
      </c>
      <c r="L472" s="735" t="e">
        <f t="shared" si="344"/>
        <v>#REF!</v>
      </c>
      <c r="N472" s="741" t="e">
        <f t="shared" si="338"/>
        <v>#REF!</v>
      </c>
      <c r="O472" s="741" t="e">
        <f t="shared" si="308"/>
        <v>#REF!</v>
      </c>
    </row>
    <row r="473" spans="1:15" s="298" customFormat="1" ht="17.100000000000001" hidden="1" customHeight="1">
      <c r="A473" s="736" t="e">
        <f t="shared" si="341"/>
        <v>#REF!</v>
      </c>
      <c r="B473" s="296" t="s">
        <v>1571</v>
      </c>
      <c r="C473" s="296" t="s">
        <v>706</v>
      </c>
      <c r="D473" s="297" t="s">
        <v>2</v>
      </c>
      <c r="E473" s="788"/>
      <c r="F473" s="738" t="e">
        <f>#REF!</f>
        <v>#REF!</v>
      </c>
      <c r="G473" s="738" t="e">
        <f>#REF!</f>
        <v>#REF!</v>
      </c>
      <c r="H473" s="738" t="e">
        <f>#REF!</f>
        <v>#REF!</v>
      </c>
      <c r="I473" s="739" t="e">
        <f t="shared" si="339"/>
        <v>#REF!</v>
      </c>
      <c r="J473" s="739" t="e">
        <f t="shared" si="340"/>
        <v>#REF!</v>
      </c>
      <c r="K473" s="740" t="e">
        <f t="shared" si="342"/>
        <v>#REF!</v>
      </c>
      <c r="L473" s="735" t="e">
        <f t="shared" si="344"/>
        <v>#REF!</v>
      </c>
      <c r="N473" s="741" t="e">
        <f t="shared" si="338"/>
        <v>#REF!</v>
      </c>
      <c r="O473" s="741" t="e">
        <f t="shared" si="308"/>
        <v>#REF!</v>
      </c>
    </row>
    <row r="474" spans="1:15" s="298" customFormat="1" ht="17.100000000000001" hidden="1" customHeight="1">
      <c r="A474" s="736" t="e">
        <f t="shared" si="341"/>
        <v>#REF!</v>
      </c>
      <c r="B474" s="296" t="s">
        <v>62</v>
      </c>
      <c r="C474" s="296" t="s">
        <v>707</v>
      </c>
      <c r="D474" s="297" t="s">
        <v>59</v>
      </c>
      <c r="E474" s="788"/>
      <c r="F474" s="738" t="e">
        <f>#REF!</f>
        <v>#REF!</v>
      </c>
      <c r="G474" s="738" t="e">
        <f>#REF!</f>
        <v>#REF!</v>
      </c>
      <c r="H474" s="738" t="e">
        <f>#REF!</f>
        <v>#REF!</v>
      </c>
      <c r="I474" s="739" t="e">
        <f t="shared" si="339"/>
        <v>#REF!</v>
      </c>
      <c r="J474" s="739" t="e">
        <f t="shared" si="340"/>
        <v>#REF!</v>
      </c>
      <c r="K474" s="740" t="e">
        <f t="shared" si="342"/>
        <v>#REF!</v>
      </c>
      <c r="L474" s="735" t="e">
        <f t="shared" si="344"/>
        <v>#REF!</v>
      </c>
      <c r="N474" s="741" t="e">
        <f t="shared" si="338"/>
        <v>#REF!</v>
      </c>
      <c r="O474" s="741" t="e">
        <f t="shared" si="308"/>
        <v>#REF!</v>
      </c>
    </row>
    <row r="475" spans="1:15" s="298" customFormat="1" ht="17.100000000000001" hidden="1" customHeight="1">
      <c r="A475" s="736" t="e">
        <f t="shared" si="341"/>
        <v>#REF!</v>
      </c>
      <c r="B475" s="296" t="s">
        <v>708</v>
      </c>
      <c r="C475" s="296" t="s">
        <v>709</v>
      </c>
      <c r="D475" s="297" t="s">
        <v>671</v>
      </c>
      <c r="E475" s="788"/>
      <c r="F475" s="738" t="e">
        <f>#REF!</f>
        <v>#REF!</v>
      </c>
      <c r="G475" s="738" t="e">
        <f>#REF!</f>
        <v>#REF!</v>
      </c>
      <c r="H475" s="738" t="e">
        <f>#REF!</f>
        <v>#REF!</v>
      </c>
      <c r="I475" s="739" t="e">
        <f t="shared" si="339"/>
        <v>#REF!</v>
      </c>
      <c r="J475" s="739" t="e">
        <f t="shared" si="340"/>
        <v>#REF!</v>
      </c>
      <c r="K475" s="740" t="e">
        <f t="shared" si="342"/>
        <v>#REF!</v>
      </c>
      <c r="L475" s="735" t="e">
        <f t="shared" si="344"/>
        <v>#REF!</v>
      </c>
      <c r="N475" s="741" t="e">
        <f t="shared" si="338"/>
        <v>#REF!</v>
      </c>
      <c r="O475" s="741" t="e">
        <f t="shared" si="308"/>
        <v>#REF!</v>
      </c>
    </row>
    <row r="476" spans="1:15" s="298" customFormat="1" ht="17.100000000000001" hidden="1" customHeight="1">
      <c r="A476" s="736" t="e">
        <f t="shared" si="341"/>
        <v>#REF!</v>
      </c>
      <c r="B476" s="296" t="s">
        <v>84</v>
      </c>
      <c r="C476" s="296" t="s">
        <v>710</v>
      </c>
      <c r="D476" s="297" t="s">
        <v>9</v>
      </c>
      <c r="E476" s="788"/>
      <c r="F476" s="738" t="e">
        <f>#REF!</f>
        <v>#REF!</v>
      </c>
      <c r="G476" s="738" t="e">
        <f>#REF!</f>
        <v>#REF!</v>
      </c>
      <c r="H476" s="738" t="e">
        <f>#REF!</f>
        <v>#REF!</v>
      </c>
      <c r="I476" s="739" t="e">
        <f t="shared" si="339"/>
        <v>#REF!</v>
      </c>
      <c r="J476" s="739" t="e">
        <f t="shared" si="340"/>
        <v>#REF!</v>
      </c>
      <c r="K476" s="740" t="e">
        <f t="shared" si="342"/>
        <v>#REF!</v>
      </c>
      <c r="L476" s="735" t="e">
        <f t="shared" si="344"/>
        <v>#REF!</v>
      </c>
      <c r="N476" s="741" t="e">
        <f t="shared" si="338"/>
        <v>#REF!</v>
      </c>
      <c r="O476" s="741" t="e">
        <f t="shared" si="308"/>
        <v>#REF!</v>
      </c>
    </row>
    <row r="477" spans="1:15" s="298" customFormat="1" ht="17.100000000000001" hidden="1" customHeight="1">
      <c r="A477" s="736" t="e">
        <f t="shared" si="341"/>
        <v>#REF!</v>
      </c>
      <c r="B477" s="296" t="s">
        <v>595</v>
      </c>
      <c r="C477" s="296" t="s">
        <v>666</v>
      </c>
      <c r="D477" s="297" t="s">
        <v>667</v>
      </c>
      <c r="E477" s="788"/>
      <c r="F477" s="738" t="e">
        <f>#REF!</f>
        <v>#REF!</v>
      </c>
      <c r="G477" s="738" t="e">
        <f>#REF!</f>
        <v>#REF!</v>
      </c>
      <c r="H477" s="738" t="e">
        <f>#REF!</f>
        <v>#REF!</v>
      </c>
      <c r="I477" s="739" t="e">
        <f t="shared" ref="I477:I491" si="345">E477*F477</f>
        <v>#REF!</v>
      </c>
      <c r="J477" s="739" t="e">
        <f t="shared" ref="J477:J491" si="346">E477*G477</f>
        <v>#REF!</v>
      </c>
      <c r="K477" s="740" t="e">
        <f t="shared" si="342"/>
        <v>#REF!</v>
      </c>
      <c r="L477" s="735" t="e">
        <f t="shared" si="344"/>
        <v>#REF!</v>
      </c>
      <c r="N477" s="741" t="e">
        <f t="shared" si="338"/>
        <v>#REF!</v>
      </c>
      <c r="O477" s="741" t="e">
        <f t="shared" si="308"/>
        <v>#REF!</v>
      </c>
    </row>
    <row r="478" spans="1:15" s="298" customFormat="1" ht="17.100000000000001" hidden="1" customHeight="1">
      <c r="A478" s="736" t="e">
        <f t="shared" si="341"/>
        <v>#REF!</v>
      </c>
      <c r="B478" s="296" t="s">
        <v>669</v>
      </c>
      <c r="C478" s="296" t="s">
        <v>670</v>
      </c>
      <c r="D478" s="297" t="s">
        <v>671</v>
      </c>
      <c r="E478" s="788"/>
      <c r="F478" s="738" t="e">
        <f>#REF!</f>
        <v>#REF!</v>
      </c>
      <c r="G478" s="738" t="e">
        <f>#REF!</f>
        <v>#REF!</v>
      </c>
      <c r="H478" s="738" t="e">
        <f>#REF!</f>
        <v>#REF!</v>
      </c>
      <c r="I478" s="739" t="e">
        <f t="shared" si="345"/>
        <v>#REF!</v>
      </c>
      <c r="J478" s="739" t="e">
        <f t="shared" si="346"/>
        <v>#REF!</v>
      </c>
      <c r="K478" s="740" t="e">
        <f t="shared" si="342"/>
        <v>#REF!</v>
      </c>
      <c r="L478" s="735" t="e">
        <f t="shared" si="344"/>
        <v>#REF!</v>
      </c>
      <c r="N478" s="741" t="e">
        <f t="shared" ref="N478:N492" si="347">SUM(F478:H478)*1.278</f>
        <v>#REF!</v>
      </c>
      <c r="O478" s="741" t="e">
        <f t="shared" si="308"/>
        <v>#REF!</v>
      </c>
    </row>
    <row r="479" spans="1:15" s="298" customFormat="1" ht="17.100000000000001" hidden="1" customHeight="1">
      <c r="A479" s="736" t="e">
        <f t="shared" si="341"/>
        <v>#REF!</v>
      </c>
      <c r="B479" s="296" t="s">
        <v>708</v>
      </c>
      <c r="C479" s="296" t="s">
        <v>711</v>
      </c>
      <c r="D479" s="297" t="s">
        <v>671</v>
      </c>
      <c r="E479" s="788"/>
      <c r="F479" s="738" t="e">
        <f>#REF!</f>
        <v>#REF!</v>
      </c>
      <c r="G479" s="738" t="e">
        <f>#REF!</f>
        <v>#REF!</v>
      </c>
      <c r="H479" s="738" t="e">
        <f>#REF!</f>
        <v>#REF!</v>
      </c>
      <c r="I479" s="739" t="e">
        <f t="shared" si="345"/>
        <v>#REF!</v>
      </c>
      <c r="J479" s="739" t="e">
        <f t="shared" si="346"/>
        <v>#REF!</v>
      </c>
      <c r="K479" s="740" t="e">
        <f t="shared" si="342"/>
        <v>#REF!</v>
      </c>
      <c r="L479" s="735" t="e">
        <f t="shared" si="344"/>
        <v>#REF!</v>
      </c>
      <c r="N479" s="741" t="e">
        <f t="shared" si="347"/>
        <v>#REF!</v>
      </c>
      <c r="O479" s="741" t="e">
        <f t="shared" si="308"/>
        <v>#REF!</v>
      </c>
    </row>
    <row r="480" spans="1:15" s="298" customFormat="1" ht="17.100000000000001" hidden="1" customHeight="1">
      <c r="A480" s="736" t="e">
        <f t="shared" si="341"/>
        <v>#REF!</v>
      </c>
      <c r="B480" s="296" t="s">
        <v>596</v>
      </c>
      <c r="C480" s="296" t="s">
        <v>668</v>
      </c>
      <c r="D480" s="297" t="s">
        <v>9</v>
      </c>
      <c r="E480" s="788"/>
      <c r="F480" s="738" t="e">
        <f>#REF!</f>
        <v>#REF!</v>
      </c>
      <c r="G480" s="738" t="e">
        <f>#REF!</f>
        <v>#REF!</v>
      </c>
      <c r="H480" s="738" t="e">
        <f>#REF!</f>
        <v>#REF!</v>
      </c>
      <c r="I480" s="739" t="e">
        <f t="shared" si="345"/>
        <v>#REF!</v>
      </c>
      <c r="J480" s="739" t="e">
        <f t="shared" si="346"/>
        <v>#REF!</v>
      </c>
      <c r="K480" s="740" t="e">
        <f t="shared" si="342"/>
        <v>#REF!</v>
      </c>
      <c r="L480" s="735" t="e">
        <f t="shared" si="344"/>
        <v>#REF!</v>
      </c>
      <c r="N480" s="741" t="e">
        <f t="shared" si="347"/>
        <v>#REF!</v>
      </c>
      <c r="O480" s="741" t="e">
        <f t="shared" si="308"/>
        <v>#REF!</v>
      </c>
    </row>
    <row r="481" spans="1:15" s="298" customFormat="1" ht="17.100000000000001" hidden="1" customHeight="1">
      <c r="A481" s="736" t="e">
        <f t="shared" si="341"/>
        <v>#REF!</v>
      </c>
      <c r="B481" s="296" t="s">
        <v>713</v>
      </c>
      <c r="C481" s="296" t="s">
        <v>714</v>
      </c>
      <c r="D481" s="297" t="s">
        <v>2</v>
      </c>
      <c r="E481" s="788"/>
      <c r="F481" s="738" t="e">
        <f>#REF!</f>
        <v>#REF!</v>
      </c>
      <c r="G481" s="738" t="e">
        <f>#REF!</f>
        <v>#REF!</v>
      </c>
      <c r="H481" s="738"/>
      <c r="I481" s="739" t="e">
        <f t="shared" si="345"/>
        <v>#REF!</v>
      </c>
      <c r="J481" s="739" t="e">
        <f t="shared" si="346"/>
        <v>#REF!</v>
      </c>
      <c r="K481" s="740">
        <f t="shared" si="342"/>
        <v>0</v>
      </c>
      <c r="L481" s="735" t="e">
        <f t="shared" si="344"/>
        <v>#REF!</v>
      </c>
      <c r="N481" s="741" t="e">
        <f t="shared" si="347"/>
        <v>#REF!</v>
      </c>
      <c r="O481" s="741" t="e">
        <f t="shared" si="308"/>
        <v>#REF!</v>
      </c>
    </row>
    <row r="482" spans="1:15" s="298" customFormat="1" ht="17.100000000000001" hidden="1" customHeight="1">
      <c r="A482" s="736" t="e">
        <f t="shared" si="341"/>
        <v>#REF!</v>
      </c>
      <c r="B482" s="296" t="s">
        <v>546</v>
      </c>
      <c r="C482" s="296" t="s">
        <v>715</v>
      </c>
      <c r="D482" s="297" t="s">
        <v>2</v>
      </c>
      <c r="E482" s="788"/>
      <c r="F482" s="738" t="e">
        <f>#REF!</f>
        <v>#REF!</v>
      </c>
      <c r="G482" s="738" t="e">
        <f>#REF!</f>
        <v>#REF!</v>
      </c>
      <c r="H482" s="738" t="e">
        <f>#REF!</f>
        <v>#REF!</v>
      </c>
      <c r="I482" s="739" t="e">
        <f t="shared" si="345"/>
        <v>#REF!</v>
      </c>
      <c r="J482" s="739" t="e">
        <f t="shared" si="346"/>
        <v>#REF!</v>
      </c>
      <c r="K482" s="740" t="e">
        <f t="shared" si="342"/>
        <v>#REF!</v>
      </c>
      <c r="L482" s="735" t="e">
        <f t="shared" si="344"/>
        <v>#REF!</v>
      </c>
      <c r="N482" s="741" t="e">
        <f t="shared" si="347"/>
        <v>#REF!</v>
      </c>
      <c r="O482" s="741" t="e">
        <f t="shared" si="308"/>
        <v>#REF!</v>
      </c>
    </row>
    <row r="483" spans="1:15" s="298" customFormat="1" ht="17.100000000000001" hidden="1" customHeight="1">
      <c r="A483" s="736" t="e">
        <f t="shared" si="341"/>
        <v>#REF!</v>
      </c>
      <c r="B483" s="296" t="s">
        <v>716</v>
      </c>
      <c r="C483" s="296" t="s">
        <v>1707</v>
      </c>
      <c r="D483" s="297" t="s">
        <v>606</v>
      </c>
      <c r="E483" s="788"/>
      <c r="F483" s="738" t="e">
        <f>#REF!</f>
        <v>#REF!</v>
      </c>
      <c r="G483" s="738"/>
      <c r="H483" s="738"/>
      <c r="I483" s="739" t="e">
        <f t="shared" si="345"/>
        <v>#REF!</v>
      </c>
      <c r="J483" s="739">
        <f t="shared" si="346"/>
        <v>0</v>
      </c>
      <c r="K483" s="740">
        <f t="shared" si="342"/>
        <v>0</v>
      </c>
      <c r="L483" s="735" t="e">
        <f t="shared" si="344"/>
        <v>#REF!</v>
      </c>
      <c r="N483" s="741" t="e">
        <f t="shared" si="347"/>
        <v>#REF!</v>
      </c>
      <c r="O483" s="741" t="e">
        <f t="shared" si="308"/>
        <v>#REF!</v>
      </c>
    </row>
    <row r="484" spans="1:15" s="298" customFormat="1" ht="17.100000000000001" hidden="1" customHeight="1">
      <c r="A484" s="736" t="e">
        <f t="shared" si="341"/>
        <v>#REF!</v>
      </c>
      <c r="B484" s="296" t="s">
        <v>681</v>
      </c>
      <c r="C484" s="296" t="s">
        <v>682</v>
      </c>
      <c r="D484" s="297" t="s">
        <v>683</v>
      </c>
      <c r="E484" s="788"/>
      <c r="F484" s="738"/>
      <c r="G484" s="738" t="e">
        <f>#REF!</f>
        <v>#REF!</v>
      </c>
      <c r="H484" s="738" t="e">
        <f>#REF!</f>
        <v>#REF!</v>
      </c>
      <c r="I484" s="739">
        <f t="shared" si="345"/>
        <v>0</v>
      </c>
      <c r="J484" s="739" t="e">
        <f t="shared" si="346"/>
        <v>#REF!</v>
      </c>
      <c r="K484" s="740" t="e">
        <f t="shared" si="342"/>
        <v>#REF!</v>
      </c>
      <c r="L484" s="735" t="e">
        <f t="shared" si="344"/>
        <v>#REF!</v>
      </c>
      <c r="N484" s="741" t="e">
        <f t="shared" ref="N484" si="348">SUM(F484:H484)*1.278</f>
        <v>#REF!</v>
      </c>
      <c r="O484" s="741" t="e">
        <f t="shared" ref="O484:O486" si="349">N484*E484</f>
        <v>#REF!</v>
      </c>
    </row>
    <row r="485" spans="1:15" s="298" customFormat="1" ht="17.100000000000001" hidden="1" customHeight="1">
      <c r="A485" s="736" t="e">
        <f t="shared" si="341"/>
        <v>#REF!</v>
      </c>
      <c r="B485" s="296" t="s">
        <v>692</v>
      </c>
      <c r="C485" s="296" t="s">
        <v>1708</v>
      </c>
      <c r="D485" s="297" t="s">
        <v>2</v>
      </c>
      <c r="E485" s="788"/>
      <c r="F485" s="738"/>
      <c r="G485" s="738" t="e">
        <f>#REF!</f>
        <v>#REF!</v>
      </c>
      <c r="H485" s="738" t="e">
        <f>#REF!</f>
        <v>#REF!</v>
      </c>
      <c r="I485" s="739">
        <f t="shared" si="345"/>
        <v>0</v>
      </c>
      <c r="J485" s="739" t="e">
        <f t="shared" si="346"/>
        <v>#REF!</v>
      </c>
      <c r="K485" s="740" t="e">
        <f t="shared" si="342"/>
        <v>#REF!</v>
      </c>
      <c r="L485" s="735" t="e">
        <f t="shared" si="344"/>
        <v>#REF!</v>
      </c>
      <c r="N485" s="741" t="e">
        <f t="shared" ref="N485:N486" si="350">SUM(F485:H485)*1.278</f>
        <v>#REF!</v>
      </c>
      <c r="O485" s="741" t="e">
        <f t="shared" si="349"/>
        <v>#REF!</v>
      </c>
    </row>
    <row r="486" spans="1:15" s="298" customFormat="1" ht="17.100000000000001" hidden="1" customHeight="1">
      <c r="A486" s="736" t="e">
        <f t="shared" si="341"/>
        <v>#REF!</v>
      </c>
      <c r="B486" s="296" t="s">
        <v>550</v>
      </c>
      <c r="C486" s="296" t="s">
        <v>580</v>
      </c>
      <c r="D486" s="297" t="s">
        <v>2</v>
      </c>
      <c r="E486" s="788"/>
      <c r="F486" s="738"/>
      <c r="G486" s="738" t="e">
        <f>#REF!</f>
        <v>#REF!</v>
      </c>
      <c r="H486" s="738" t="e">
        <f>#REF!</f>
        <v>#REF!</v>
      </c>
      <c r="I486" s="739">
        <f t="shared" si="345"/>
        <v>0</v>
      </c>
      <c r="J486" s="739" t="e">
        <f t="shared" si="346"/>
        <v>#REF!</v>
      </c>
      <c r="K486" s="740" t="e">
        <f t="shared" si="342"/>
        <v>#REF!</v>
      </c>
      <c r="L486" s="735" t="e">
        <f t="shared" si="344"/>
        <v>#REF!</v>
      </c>
      <c r="N486" s="741" t="e">
        <f t="shared" si="350"/>
        <v>#REF!</v>
      </c>
      <c r="O486" s="741" t="e">
        <f t="shared" si="349"/>
        <v>#REF!</v>
      </c>
    </row>
    <row r="487" spans="1:15" s="298" customFormat="1" ht="17.100000000000001" hidden="1" customHeight="1">
      <c r="A487" s="736" t="e">
        <f t="shared" si="341"/>
        <v>#REF!</v>
      </c>
      <c r="B487" s="296"/>
      <c r="C487" s="737" t="s">
        <v>1720</v>
      </c>
      <c r="D487" s="297" t="s">
        <v>0</v>
      </c>
      <c r="E487" s="788"/>
      <c r="F487" s="738"/>
      <c r="G487" s="738"/>
      <c r="H487" s="738"/>
      <c r="I487" s="739">
        <f t="shared" si="345"/>
        <v>0</v>
      </c>
      <c r="J487" s="739">
        <f t="shared" si="346"/>
        <v>0</v>
      </c>
      <c r="K487" s="740">
        <f t="shared" si="342"/>
        <v>0</v>
      </c>
      <c r="L487" s="735">
        <f t="shared" si="344"/>
        <v>0</v>
      </c>
      <c r="N487" s="741">
        <f t="shared" si="347"/>
        <v>0</v>
      </c>
      <c r="O487" s="741">
        <f t="shared" si="308"/>
        <v>0</v>
      </c>
    </row>
    <row r="488" spans="1:15" s="298" customFormat="1" ht="17.100000000000001" hidden="1" customHeight="1">
      <c r="A488" s="736" t="e">
        <f t="shared" si="341"/>
        <v>#REF!</v>
      </c>
      <c r="B488" s="296" t="s">
        <v>1395</v>
      </c>
      <c r="C488" s="296" t="s">
        <v>719</v>
      </c>
      <c r="D488" s="297" t="s">
        <v>2</v>
      </c>
      <c r="E488" s="788"/>
      <c r="F488" s="738" t="e">
        <f>#REF!</f>
        <v>#REF!</v>
      </c>
      <c r="G488" s="738" t="e">
        <f>#REF!</f>
        <v>#REF!</v>
      </c>
      <c r="H488" s="738" t="e">
        <f>#REF!</f>
        <v>#REF!</v>
      </c>
      <c r="I488" s="739" t="e">
        <f t="shared" si="345"/>
        <v>#REF!</v>
      </c>
      <c r="J488" s="739" t="e">
        <f t="shared" si="346"/>
        <v>#REF!</v>
      </c>
      <c r="K488" s="740" t="e">
        <f t="shared" si="342"/>
        <v>#REF!</v>
      </c>
      <c r="L488" s="735" t="e">
        <f t="shared" si="344"/>
        <v>#REF!</v>
      </c>
      <c r="N488" s="741" t="e">
        <f t="shared" si="347"/>
        <v>#REF!</v>
      </c>
      <c r="O488" s="741" t="e">
        <f t="shared" si="308"/>
        <v>#REF!</v>
      </c>
    </row>
    <row r="489" spans="1:15" s="298" customFormat="1" ht="17.100000000000001" hidden="1" customHeight="1">
      <c r="A489" s="736" t="e">
        <f t="shared" si="341"/>
        <v>#REF!</v>
      </c>
      <c r="B489" s="296" t="s">
        <v>84</v>
      </c>
      <c r="C489" s="296" t="s">
        <v>85</v>
      </c>
      <c r="D489" s="297" t="s">
        <v>9</v>
      </c>
      <c r="E489" s="788"/>
      <c r="F489" s="738" t="e">
        <f>#REF!</f>
        <v>#REF!</v>
      </c>
      <c r="G489" s="738" t="e">
        <f>#REF!</f>
        <v>#REF!</v>
      </c>
      <c r="H489" s="738" t="e">
        <f>#REF!</f>
        <v>#REF!</v>
      </c>
      <c r="I489" s="739" t="e">
        <f t="shared" si="345"/>
        <v>#REF!</v>
      </c>
      <c r="J489" s="739" t="e">
        <f t="shared" si="346"/>
        <v>#REF!</v>
      </c>
      <c r="K489" s="740" t="e">
        <f t="shared" si="342"/>
        <v>#REF!</v>
      </c>
      <c r="L489" s="735" t="e">
        <f t="shared" si="344"/>
        <v>#REF!</v>
      </c>
      <c r="N489" s="741" t="e">
        <f t="shared" si="347"/>
        <v>#REF!</v>
      </c>
      <c r="O489" s="741" t="e">
        <f t="shared" si="308"/>
        <v>#REF!</v>
      </c>
    </row>
    <row r="490" spans="1:15" s="298" customFormat="1" ht="17.100000000000001" hidden="1" customHeight="1">
      <c r="A490" s="736" t="e">
        <f t="shared" si="341"/>
        <v>#REF!</v>
      </c>
      <c r="B490" s="296" t="s">
        <v>546</v>
      </c>
      <c r="C490" s="296" t="s">
        <v>715</v>
      </c>
      <c r="D490" s="297" t="s">
        <v>2</v>
      </c>
      <c r="E490" s="788"/>
      <c r="F490" s="738" t="e">
        <f>#REF!</f>
        <v>#REF!</v>
      </c>
      <c r="G490" s="738" t="e">
        <f>#REF!</f>
        <v>#REF!</v>
      </c>
      <c r="H490" s="738" t="e">
        <f>#REF!</f>
        <v>#REF!</v>
      </c>
      <c r="I490" s="739" t="e">
        <f t="shared" si="345"/>
        <v>#REF!</v>
      </c>
      <c r="J490" s="739" t="e">
        <f t="shared" si="346"/>
        <v>#REF!</v>
      </c>
      <c r="K490" s="740" t="e">
        <f t="shared" si="342"/>
        <v>#REF!</v>
      </c>
      <c r="L490" s="735" t="e">
        <f t="shared" si="344"/>
        <v>#REF!</v>
      </c>
      <c r="N490" s="741" t="e">
        <f t="shared" si="347"/>
        <v>#REF!</v>
      </c>
      <c r="O490" s="741" t="e">
        <f t="shared" si="308"/>
        <v>#REF!</v>
      </c>
    </row>
    <row r="491" spans="1:15" s="298" customFormat="1" ht="17.100000000000001" hidden="1" customHeight="1">
      <c r="A491" s="736" t="e">
        <f t="shared" si="341"/>
        <v>#REF!</v>
      </c>
      <c r="B491" s="296" t="s">
        <v>692</v>
      </c>
      <c r="C491" s="296" t="s">
        <v>720</v>
      </c>
      <c r="D491" s="297" t="s">
        <v>2</v>
      </c>
      <c r="E491" s="788"/>
      <c r="F491" s="738"/>
      <c r="G491" s="738" t="e">
        <f>#REF!</f>
        <v>#REF!</v>
      </c>
      <c r="H491" s="738" t="e">
        <f>#REF!</f>
        <v>#REF!</v>
      </c>
      <c r="I491" s="739">
        <f t="shared" si="345"/>
        <v>0</v>
      </c>
      <c r="J491" s="739" t="e">
        <f t="shared" si="346"/>
        <v>#REF!</v>
      </c>
      <c r="K491" s="740" t="e">
        <f t="shared" si="342"/>
        <v>#REF!</v>
      </c>
      <c r="L491" s="735" t="e">
        <f t="shared" si="344"/>
        <v>#REF!</v>
      </c>
      <c r="N491" s="741" t="e">
        <f t="shared" si="347"/>
        <v>#REF!</v>
      </c>
      <c r="O491" s="741" t="e">
        <f t="shared" si="308"/>
        <v>#REF!</v>
      </c>
    </row>
    <row r="492" spans="1:15" s="298" customFormat="1" ht="17.100000000000001" hidden="1" customHeight="1">
      <c r="A492" s="736" t="e">
        <f t="shared" si="341"/>
        <v>#REF!</v>
      </c>
      <c r="B492" s="296" t="s">
        <v>550</v>
      </c>
      <c r="C492" s="296" t="s">
        <v>580</v>
      </c>
      <c r="D492" s="297" t="s">
        <v>2</v>
      </c>
      <c r="E492" s="788"/>
      <c r="F492" s="738"/>
      <c r="G492" s="738" t="e">
        <f>#REF!</f>
        <v>#REF!</v>
      </c>
      <c r="H492" s="738" t="e">
        <f>#REF!</f>
        <v>#REF!</v>
      </c>
      <c r="I492" s="739">
        <f>E492*F492</f>
        <v>0</v>
      </c>
      <c r="J492" s="739" t="e">
        <f>E492*G492</f>
        <v>#REF!</v>
      </c>
      <c r="K492" s="740" t="e">
        <f t="shared" si="342"/>
        <v>#REF!</v>
      </c>
      <c r="L492" s="735" t="e">
        <f t="shared" si="344"/>
        <v>#REF!</v>
      </c>
      <c r="N492" s="741" t="e">
        <f t="shared" si="347"/>
        <v>#REF!</v>
      </c>
      <c r="O492" s="741" t="e">
        <f t="shared" si="308"/>
        <v>#REF!</v>
      </c>
    </row>
    <row r="493" spans="1:15" s="298" customFormat="1" ht="17.100000000000001" hidden="1" customHeight="1">
      <c r="A493" s="736" t="e">
        <f t="shared" si="341"/>
        <v>#REF!</v>
      </c>
      <c r="B493" s="758"/>
      <c r="C493" s="787" t="s">
        <v>1721</v>
      </c>
      <c r="D493" s="774"/>
      <c r="E493" s="821"/>
      <c r="F493" s="760"/>
      <c r="G493" s="760"/>
      <c r="H493" s="760"/>
      <c r="I493" s="759"/>
      <c r="J493" s="759"/>
      <c r="K493" s="835"/>
      <c r="L493" s="735">
        <f t="shared" si="344"/>
        <v>0</v>
      </c>
      <c r="N493" s="741"/>
      <c r="O493" s="741"/>
    </row>
    <row r="494" spans="1:15" s="298" customFormat="1" ht="17.100000000000001" hidden="1" customHeight="1">
      <c r="A494" s="736" t="e">
        <f t="shared" si="341"/>
        <v>#REF!</v>
      </c>
      <c r="B494" s="296" t="s">
        <v>697</v>
      </c>
      <c r="C494" s="296" t="s">
        <v>1569</v>
      </c>
      <c r="D494" s="297" t="s">
        <v>310</v>
      </c>
      <c r="E494" s="788"/>
      <c r="F494" s="738" t="e">
        <f>#REF!</f>
        <v>#REF!</v>
      </c>
      <c r="G494" s="738" t="e">
        <f>#REF!</f>
        <v>#REF!</v>
      </c>
      <c r="H494" s="738" t="e">
        <f>#REF!</f>
        <v>#REF!</v>
      </c>
      <c r="I494" s="739" t="e">
        <f t="shared" si="339"/>
        <v>#REF!</v>
      </c>
      <c r="J494" s="739" t="e">
        <f t="shared" si="340"/>
        <v>#REF!</v>
      </c>
      <c r="K494" s="740" t="e">
        <f t="shared" ref="K494:K503" si="351">E494*H494</f>
        <v>#REF!</v>
      </c>
      <c r="L494" s="735" t="e">
        <f t="shared" si="344"/>
        <v>#REF!</v>
      </c>
      <c r="N494" s="741" t="e">
        <f t="shared" si="338"/>
        <v>#REF!</v>
      </c>
      <c r="O494" s="741" t="e">
        <f t="shared" si="308"/>
        <v>#REF!</v>
      </c>
    </row>
    <row r="495" spans="1:15" s="298" customFormat="1" ht="17.100000000000001" hidden="1" customHeight="1">
      <c r="A495" s="736" t="e">
        <f t="shared" si="341"/>
        <v>#REF!</v>
      </c>
      <c r="B495" s="296" t="s">
        <v>6</v>
      </c>
      <c r="C495" s="296" t="s">
        <v>698</v>
      </c>
      <c r="D495" s="297" t="s">
        <v>2</v>
      </c>
      <c r="E495" s="788"/>
      <c r="F495" s="738"/>
      <c r="G495" s="738" t="e">
        <f>#REF!</f>
        <v>#REF!</v>
      </c>
      <c r="H495" s="738" t="e">
        <f>#REF!</f>
        <v>#REF!</v>
      </c>
      <c r="I495" s="739">
        <f t="shared" si="339"/>
        <v>0</v>
      </c>
      <c r="J495" s="739" t="e">
        <f t="shared" si="340"/>
        <v>#REF!</v>
      </c>
      <c r="K495" s="740" t="e">
        <f t="shared" si="351"/>
        <v>#REF!</v>
      </c>
      <c r="L495" s="735" t="e">
        <f t="shared" si="344"/>
        <v>#REF!</v>
      </c>
      <c r="N495" s="741" t="e">
        <f t="shared" si="338"/>
        <v>#REF!</v>
      </c>
      <c r="O495" s="741" t="e">
        <f t="shared" si="308"/>
        <v>#REF!</v>
      </c>
    </row>
    <row r="496" spans="1:15" s="298" customFormat="1" ht="17.100000000000001" hidden="1" customHeight="1">
      <c r="A496" s="736" t="e">
        <f t="shared" si="341"/>
        <v>#REF!</v>
      </c>
      <c r="B496" s="296" t="s">
        <v>690</v>
      </c>
      <c r="C496" s="296" t="s">
        <v>699</v>
      </c>
      <c r="D496" s="297" t="s">
        <v>2</v>
      </c>
      <c r="E496" s="788"/>
      <c r="F496" s="738" t="e">
        <f>#REF!</f>
        <v>#REF!</v>
      </c>
      <c r="G496" s="738" t="e">
        <f>#REF!</f>
        <v>#REF!</v>
      </c>
      <c r="H496" s="738" t="e">
        <f>#REF!</f>
        <v>#REF!</v>
      </c>
      <c r="I496" s="739" t="e">
        <f t="shared" si="339"/>
        <v>#REF!</v>
      </c>
      <c r="J496" s="739" t="e">
        <f t="shared" si="340"/>
        <v>#REF!</v>
      </c>
      <c r="K496" s="740" t="e">
        <f t="shared" si="351"/>
        <v>#REF!</v>
      </c>
      <c r="L496" s="735" t="e">
        <f t="shared" si="344"/>
        <v>#REF!</v>
      </c>
      <c r="N496" s="741" t="e">
        <f t="shared" si="338"/>
        <v>#REF!</v>
      </c>
      <c r="O496" s="741" t="e">
        <f t="shared" si="308"/>
        <v>#REF!</v>
      </c>
    </row>
    <row r="497" spans="1:15" s="298" customFormat="1" ht="17.100000000000001" hidden="1" customHeight="1">
      <c r="A497" s="736" t="e">
        <f t="shared" si="341"/>
        <v>#REF!</v>
      </c>
      <c r="B497" s="296" t="s">
        <v>700</v>
      </c>
      <c r="C497" s="296" t="s">
        <v>701</v>
      </c>
      <c r="D497" s="297" t="s">
        <v>2</v>
      </c>
      <c r="E497" s="788"/>
      <c r="F497" s="738"/>
      <c r="G497" s="738" t="e">
        <f>#REF!</f>
        <v>#REF!</v>
      </c>
      <c r="H497" s="738" t="e">
        <f>#REF!</f>
        <v>#REF!</v>
      </c>
      <c r="I497" s="739">
        <f t="shared" si="339"/>
        <v>0</v>
      </c>
      <c r="J497" s="739" t="e">
        <f t="shared" si="340"/>
        <v>#REF!</v>
      </c>
      <c r="K497" s="740" t="e">
        <f t="shared" si="351"/>
        <v>#REF!</v>
      </c>
      <c r="L497" s="735" t="e">
        <f t="shared" si="344"/>
        <v>#REF!</v>
      </c>
      <c r="N497" s="741" t="e">
        <f t="shared" si="338"/>
        <v>#REF!</v>
      </c>
      <c r="O497" s="741" t="e">
        <f t="shared" si="308"/>
        <v>#REF!</v>
      </c>
    </row>
    <row r="498" spans="1:15" s="298" customFormat="1" ht="17.100000000000001" hidden="1" customHeight="1">
      <c r="A498" s="736" t="e">
        <f t="shared" si="341"/>
        <v>#REF!</v>
      </c>
      <c r="B498" s="296" t="s">
        <v>692</v>
      </c>
      <c r="C498" s="296" t="s">
        <v>693</v>
      </c>
      <c r="D498" s="297" t="s">
        <v>2</v>
      </c>
      <c r="E498" s="788"/>
      <c r="F498" s="738"/>
      <c r="G498" s="738" t="e">
        <f>#REF!</f>
        <v>#REF!</v>
      </c>
      <c r="H498" s="738" t="e">
        <f>#REF!</f>
        <v>#REF!</v>
      </c>
      <c r="I498" s="739">
        <f t="shared" si="339"/>
        <v>0</v>
      </c>
      <c r="J498" s="739" t="e">
        <f t="shared" si="340"/>
        <v>#REF!</v>
      </c>
      <c r="K498" s="740" t="e">
        <f t="shared" si="351"/>
        <v>#REF!</v>
      </c>
      <c r="L498" s="735" t="e">
        <f t="shared" si="344"/>
        <v>#REF!</v>
      </c>
      <c r="N498" s="741" t="e">
        <f t="shared" si="338"/>
        <v>#REF!</v>
      </c>
      <c r="O498" s="741" t="e">
        <f t="shared" si="308"/>
        <v>#REF!</v>
      </c>
    </row>
    <row r="499" spans="1:15" s="298" customFormat="1" ht="17.100000000000001" hidden="1" customHeight="1">
      <c r="A499" s="736" t="e">
        <f t="shared" si="341"/>
        <v>#REF!</v>
      </c>
      <c r="B499" s="296" t="s">
        <v>1030</v>
      </c>
      <c r="C499" s="296" t="s">
        <v>1570</v>
      </c>
      <c r="D499" s="297" t="s">
        <v>310</v>
      </c>
      <c r="E499" s="788"/>
      <c r="F499" s="738" t="e">
        <f>#REF!</f>
        <v>#REF!</v>
      </c>
      <c r="G499" s="738" t="e">
        <f>#REF!</f>
        <v>#REF!</v>
      </c>
      <c r="H499" s="738" t="e">
        <f>#REF!</f>
        <v>#REF!</v>
      </c>
      <c r="I499" s="739" t="e">
        <f t="shared" si="339"/>
        <v>#REF!</v>
      </c>
      <c r="J499" s="739" t="e">
        <f t="shared" si="340"/>
        <v>#REF!</v>
      </c>
      <c r="K499" s="740" t="e">
        <f t="shared" si="351"/>
        <v>#REF!</v>
      </c>
      <c r="L499" s="735" t="e">
        <f t="shared" si="344"/>
        <v>#REF!</v>
      </c>
      <c r="N499" s="741" t="e">
        <f t="shared" si="338"/>
        <v>#REF!</v>
      </c>
      <c r="O499" s="741" t="e">
        <f t="shared" si="308"/>
        <v>#REF!</v>
      </c>
    </row>
    <row r="500" spans="1:15" s="298" customFormat="1" ht="17.100000000000001" hidden="1" customHeight="1">
      <c r="A500" s="736" t="e">
        <f t="shared" si="341"/>
        <v>#REF!</v>
      </c>
      <c r="B500" s="296" t="s">
        <v>595</v>
      </c>
      <c r="C500" s="296" t="s">
        <v>666</v>
      </c>
      <c r="D500" s="297" t="s">
        <v>667</v>
      </c>
      <c r="E500" s="833"/>
      <c r="F500" s="738" t="e">
        <f>#REF!</f>
        <v>#REF!</v>
      </c>
      <c r="G500" s="738" t="e">
        <f>#REF!</f>
        <v>#REF!</v>
      </c>
      <c r="H500" s="738" t="e">
        <f>#REF!</f>
        <v>#REF!</v>
      </c>
      <c r="I500" s="739" t="e">
        <f t="shared" si="336"/>
        <v>#REF!</v>
      </c>
      <c r="J500" s="739" t="e">
        <f t="shared" si="337"/>
        <v>#REF!</v>
      </c>
      <c r="K500" s="740" t="e">
        <f t="shared" si="351"/>
        <v>#REF!</v>
      </c>
      <c r="L500" s="735" t="e">
        <f t="shared" si="344"/>
        <v>#REF!</v>
      </c>
      <c r="N500" s="741" t="e">
        <f t="shared" si="307"/>
        <v>#REF!</v>
      </c>
      <c r="O500" s="741" t="e">
        <f t="shared" si="308"/>
        <v>#REF!</v>
      </c>
    </row>
    <row r="501" spans="1:15" s="298" customFormat="1" ht="17.100000000000001" hidden="1" customHeight="1">
      <c r="A501" s="736" t="e">
        <f t="shared" si="341"/>
        <v>#REF!</v>
      </c>
      <c r="B501" s="296" t="s">
        <v>596</v>
      </c>
      <c r="C501" s="296" t="s">
        <v>668</v>
      </c>
      <c r="D501" s="297" t="s">
        <v>9</v>
      </c>
      <c r="E501" s="833"/>
      <c r="F501" s="738" t="e">
        <f>#REF!</f>
        <v>#REF!</v>
      </c>
      <c r="G501" s="738" t="e">
        <f>#REF!</f>
        <v>#REF!</v>
      </c>
      <c r="H501" s="738" t="e">
        <f>#REF!</f>
        <v>#REF!</v>
      </c>
      <c r="I501" s="739" t="e">
        <f t="shared" si="336"/>
        <v>#REF!</v>
      </c>
      <c r="J501" s="739" t="e">
        <f t="shared" si="337"/>
        <v>#REF!</v>
      </c>
      <c r="K501" s="740" t="e">
        <f t="shared" si="351"/>
        <v>#REF!</v>
      </c>
      <c r="L501" s="735" t="e">
        <f t="shared" si="344"/>
        <v>#REF!</v>
      </c>
      <c r="N501" s="741" t="e">
        <f t="shared" si="307"/>
        <v>#REF!</v>
      </c>
      <c r="O501" s="741" t="e">
        <f t="shared" si="308"/>
        <v>#REF!</v>
      </c>
    </row>
    <row r="502" spans="1:15" s="298" customFormat="1" ht="17.100000000000001" hidden="1" customHeight="1">
      <c r="A502" s="736" t="e">
        <f t="shared" si="341"/>
        <v>#REF!</v>
      </c>
      <c r="B502" s="296" t="s">
        <v>669</v>
      </c>
      <c r="C502" s="296" t="s">
        <v>670</v>
      </c>
      <c r="D502" s="297" t="s">
        <v>671</v>
      </c>
      <c r="E502" s="833"/>
      <c r="F502" s="738" t="e">
        <f>#REF!</f>
        <v>#REF!</v>
      </c>
      <c r="G502" s="738" t="e">
        <f>#REF!</f>
        <v>#REF!</v>
      </c>
      <c r="H502" s="738" t="e">
        <f>#REF!</f>
        <v>#REF!</v>
      </c>
      <c r="I502" s="739" t="e">
        <f t="shared" si="336"/>
        <v>#REF!</v>
      </c>
      <c r="J502" s="739" t="e">
        <f t="shared" si="337"/>
        <v>#REF!</v>
      </c>
      <c r="K502" s="740" t="e">
        <f t="shared" si="351"/>
        <v>#REF!</v>
      </c>
      <c r="L502" s="735" t="e">
        <f t="shared" si="344"/>
        <v>#REF!</v>
      </c>
      <c r="N502" s="741" t="e">
        <f t="shared" si="307"/>
        <v>#REF!</v>
      </c>
      <c r="O502" s="741" t="e">
        <f t="shared" si="308"/>
        <v>#REF!</v>
      </c>
    </row>
    <row r="503" spans="1:15" s="298" customFormat="1" ht="17.100000000000001" hidden="1" customHeight="1">
      <c r="A503" s="736" t="e">
        <f t="shared" si="341"/>
        <v>#REF!</v>
      </c>
      <c r="B503" s="296" t="s">
        <v>681</v>
      </c>
      <c r="C503" s="296" t="s">
        <v>682</v>
      </c>
      <c r="D503" s="297" t="s">
        <v>683</v>
      </c>
      <c r="E503" s="833"/>
      <c r="F503" s="738"/>
      <c r="G503" s="738" t="e">
        <f>#REF!</f>
        <v>#REF!</v>
      </c>
      <c r="H503" s="738" t="e">
        <f>#REF!</f>
        <v>#REF!</v>
      </c>
      <c r="I503" s="739">
        <f t="shared" si="336"/>
        <v>0</v>
      </c>
      <c r="J503" s="739" t="e">
        <f t="shared" si="337"/>
        <v>#REF!</v>
      </c>
      <c r="K503" s="740" t="e">
        <f t="shared" si="351"/>
        <v>#REF!</v>
      </c>
      <c r="L503" s="735" t="e">
        <f t="shared" si="344"/>
        <v>#REF!</v>
      </c>
      <c r="N503" s="741" t="e">
        <f t="shared" si="307"/>
        <v>#REF!</v>
      </c>
      <c r="O503" s="741" t="e">
        <f t="shared" si="308"/>
        <v>#REF!</v>
      </c>
    </row>
    <row r="504" spans="1:15" s="298" customFormat="1" ht="17.100000000000001" hidden="1" customHeight="1">
      <c r="A504" s="736" t="e">
        <f t="shared" si="341"/>
        <v>#REF!</v>
      </c>
      <c r="B504" s="296"/>
      <c r="C504" s="737" t="s">
        <v>1772</v>
      </c>
      <c r="D504" s="297" t="s">
        <v>0</v>
      </c>
      <c r="E504" s="788"/>
      <c r="F504" s="738"/>
      <c r="G504" s="738"/>
      <c r="H504" s="738"/>
      <c r="I504" s="739"/>
      <c r="J504" s="739"/>
      <c r="K504" s="740"/>
      <c r="L504" s="735">
        <f t="shared" si="344"/>
        <v>0</v>
      </c>
      <c r="N504" s="741">
        <f t="shared" ref="N504:N513" si="352">SUM(F504:H504)*1.278</f>
        <v>0</v>
      </c>
      <c r="O504" s="741">
        <f t="shared" si="308"/>
        <v>0</v>
      </c>
    </row>
    <row r="505" spans="1:15" s="298" customFormat="1" ht="17.100000000000001" hidden="1" customHeight="1">
      <c r="A505" s="736" t="e">
        <f t="shared" si="341"/>
        <v>#REF!</v>
      </c>
      <c r="B505" s="296" t="s">
        <v>1572</v>
      </c>
      <c r="C505" s="296" t="s">
        <v>728</v>
      </c>
      <c r="D505" s="297" t="s">
        <v>2</v>
      </c>
      <c r="E505" s="788"/>
      <c r="F505" s="738" t="e">
        <f>#REF!</f>
        <v>#REF!</v>
      </c>
      <c r="G505" s="738" t="e">
        <f>#REF!</f>
        <v>#REF!</v>
      </c>
      <c r="H505" s="738" t="e">
        <f>#REF!</f>
        <v>#REF!</v>
      </c>
      <c r="I505" s="739" t="e">
        <f t="shared" ref="I505:I513" si="353">E505*F505</f>
        <v>#REF!</v>
      </c>
      <c r="J505" s="739" t="e">
        <f t="shared" ref="J505:J513" si="354">E505*G505</f>
        <v>#REF!</v>
      </c>
      <c r="K505" s="740" t="e">
        <f t="shared" ref="K505:K513" si="355">E505*H505</f>
        <v>#REF!</v>
      </c>
      <c r="L505" s="735" t="e">
        <f t="shared" si="344"/>
        <v>#REF!</v>
      </c>
      <c r="N505" s="741" t="e">
        <f t="shared" si="352"/>
        <v>#REF!</v>
      </c>
      <c r="O505" s="741" t="e">
        <f t="shared" si="308"/>
        <v>#REF!</v>
      </c>
    </row>
    <row r="506" spans="1:15" s="298" customFormat="1" ht="17.100000000000001" hidden="1" customHeight="1">
      <c r="A506" s="736" t="e">
        <f t="shared" si="341"/>
        <v>#REF!</v>
      </c>
      <c r="B506" s="296" t="s">
        <v>614</v>
      </c>
      <c r="C506" s="296" t="s">
        <v>727</v>
      </c>
      <c r="D506" s="297" t="s">
        <v>2</v>
      </c>
      <c r="E506" s="788"/>
      <c r="F506" s="738"/>
      <c r="G506" s="738" t="e">
        <f>#REF!</f>
        <v>#REF!</v>
      </c>
      <c r="H506" s="738"/>
      <c r="I506" s="739">
        <f t="shared" si="353"/>
        <v>0</v>
      </c>
      <c r="J506" s="739" t="e">
        <f t="shared" si="354"/>
        <v>#REF!</v>
      </c>
      <c r="K506" s="740">
        <f t="shared" si="355"/>
        <v>0</v>
      </c>
      <c r="L506" s="735" t="e">
        <f t="shared" si="344"/>
        <v>#REF!</v>
      </c>
      <c r="N506" s="741" t="e">
        <f t="shared" ref="N506" si="356">SUM(F506:H506)*1.278</f>
        <v>#REF!</v>
      </c>
      <c r="O506" s="741" t="e">
        <f t="shared" ref="O506:O507" si="357">N506*E506</f>
        <v>#REF!</v>
      </c>
    </row>
    <row r="507" spans="1:15" s="298" customFormat="1" ht="17.100000000000001" hidden="1" customHeight="1">
      <c r="A507" s="736" t="e">
        <f t="shared" si="341"/>
        <v>#REF!</v>
      </c>
      <c r="B507" s="296" t="s">
        <v>690</v>
      </c>
      <c r="C507" s="296" t="s">
        <v>1785</v>
      </c>
      <c r="D507" s="297" t="s">
        <v>2</v>
      </c>
      <c r="E507" s="788"/>
      <c r="F507" s="738" t="e">
        <f>#REF!</f>
        <v>#REF!</v>
      </c>
      <c r="G507" s="738" t="e">
        <f>#REF!</f>
        <v>#REF!</v>
      </c>
      <c r="H507" s="738" t="e">
        <f>#REF!</f>
        <v>#REF!</v>
      </c>
      <c r="I507" s="739" t="e">
        <f t="shared" si="353"/>
        <v>#REF!</v>
      </c>
      <c r="J507" s="739" t="e">
        <f t="shared" si="354"/>
        <v>#REF!</v>
      </c>
      <c r="K507" s="740" t="e">
        <f t="shared" si="355"/>
        <v>#REF!</v>
      </c>
      <c r="L507" s="735" t="e">
        <f t="shared" ref="L507" si="358">IF(OR(SUM(I507:K507)&lt;&gt;0,B507="*"),$L$5,0)</f>
        <v>#REF!</v>
      </c>
      <c r="N507" s="741" t="e">
        <f t="shared" ref="N507" si="359">SUM(F507:H507)*1.278</f>
        <v>#REF!</v>
      </c>
      <c r="O507" s="741" t="e">
        <f t="shared" si="357"/>
        <v>#REF!</v>
      </c>
    </row>
    <row r="508" spans="1:15" s="298" customFormat="1" ht="17.100000000000001" hidden="1" customHeight="1">
      <c r="A508" s="736" t="e">
        <f t="shared" si="341"/>
        <v>#REF!</v>
      </c>
      <c r="B508" s="296" t="s">
        <v>38</v>
      </c>
      <c r="C508" s="296" t="s">
        <v>85</v>
      </c>
      <c r="D508" s="297" t="s">
        <v>9</v>
      </c>
      <c r="E508" s="788"/>
      <c r="F508" s="738" t="e">
        <f>#REF!</f>
        <v>#REF!</v>
      </c>
      <c r="G508" s="738" t="e">
        <f>#REF!</f>
        <v>#REF!</v>
      </c>
      <c r="H508" s="738" t="e">
        <f>#REF!</f>
        <v>#REF!</v>
      </c>
      <c r="I508" s="739" t="e">
        <f t="shared" si="353"/>
        <v>#REF!</v>
      </c>
      <c r="J508" s="739" t="e">
        <f t="shared" si="354"/>
        <v>#REF!</v>
      </c>
      <c r="K508" s="740" t="e">
        <f t="shared" si="355"/>
        <v>#REF!</v>
      </c>
      <c r="L508" s="735" t="e">
        <f t="shared" si="344"/>
        <v>#REF!</v>
      </c>
      <c r="N508" s="741" t="e">
        <f t="shared" si="352"/>
        <v>#REF!</v>
      </c>
      <c r="O508" s="741" t="e">
        <f t="shared" si="308"/>
        <v>#REF!</v>
      </c>
    </row>
    <row r="509" spans="1:15" s="298" customFormat="1" ht="17.100000000000001" hidden="1" customHeight="1">
      <c r="A509" s="736" t="e">
        <f t="shared" si="341"/>
        <v>#REF!</v>
      </c>
      <c r="B509" s="296" t="s">
        <v>22</v>
      </c>
      <c r="C509" s="296" t="s">
        <v>729</v>
      </c>
      <c r="D509" s="297" t="s">
        <v>2</v>
      </c>
      <c r="E509" s="788"/>
      <c r="F509" s="738" t="e">
        <f>#REF!</f>
        <v>#REF!</v>
      </c>
      <c r="G509" s="738" t="e">
        <f>#REF!</f>
        <v>#REF!</v>
      </c>
      <c r="H509" s="738" t="e">
        <f>#REF!</f>
        <v>#REF!</v>
      </c>
      <c r="I509" s="739" t="e">
        <f t="shared" si="353"/>
        <v>#REF!</v>
      </c>
      <c r="J509" s="739" t="e">
        <f t="shared" si="354"/>
        <v>#REF!</v>
      </c>
      <c r="K509" s="740" t="e">
        <f t="shared" si="355"/>
        <v>#REF!</v>
      </c>
      <c r="L509" s="735" t="e">
        <f t="shared" si="344"/>
        <v>#REF!</v>
      </c>
      <c r="N509" s="741" t="e">
        <f t="shared" si="352"/>
        <v>#REF!</v>
      </c>
      <c r="O509" s="741" t="e">
        <f t="shared" si="308"/>
        <v>#REF!</v>
      </c>
    </row>
    <row r="510" spans="1:15" s="298" customFormat="1" ht="17.100000000000001" hidden="1" customHeight="1">
      <c r="A510" s="736" t="e">
        <f t="shared" si="341"/>
        <v>#REF!</v>
      </c>
      <c r="B510" s="296" t="s">
        <v>1554</v>
      </c>
      <c r="C510" s="296" t="s">
        <v>730</v>
      </c>
      <c r="D510" s="297" t="s">
        <v>2</v>
      </c>
      <c r="E510" s="788"/>
      <c r="F510" s="738" t="e">
        <f>#REF!</f>
        <v>#REF!</v>
      </c>
      <c r="G510" s="738" t="e">
        <f>#REF!</f>
        <v>#REF!</v>
      </c>
      <c r="H510" s="738" t="e">
        <f>#REF!</f>
        <v>#REF!</v>
      </c>
      <c r="I510" s="739" t="e">
        <f t="shared" si="353"/>
        <v>#REF!</v>
      </c>
      <c r="J510" s="739" t="e">
        <f t="shared" si="354"/>
        <v>#REF!</v>
      </c>
      <c r="K510" s="740" t="e">
        <f t="shared" si="355"/>
        <v>#REF!</v>
      </c>
      <c r="L510" s="735" t="e">
        <f t="shared" si="344"/>
        <v>#REF!</v>
      </c>
      <c r="N510" s="741" t="e">
        <f t="shared" si="352"/>
        <v>#REF!</v>
      </c>
      <c r="O510" s="741" t="e">
        <f t="shared" si="308"/>
        <v>#REF!</v>
      </c>
    </row>
    <row r="511" spans="1:15" s="298" customFormat="1" ht="17.100000000000001" hidden="1" customHeight="1">
      <c r="A511" s="736" t="e">
        <f t="shared" si="341"/>
        <v>#REF!</v>
      </c>
      <c r="B511" s="296" t="s">
        <v>1395</v>
      </c>
      <c r="C511" s="296" t="s">
        <v>731</v>
      </c>
      <c r="D511" s="297" t="s">
        <v>2</v>
      </c>
      <c r="E511" s="788"/>
      <c r="F511" s="738" t="e">
        <f>#REF!</f>
        <v>#REF!</v>
      </c>
      <c r="G511" s="738" t="e">
        <f>#REF!</f>
        <v>#REF!</v>
      </c>
      <c r="H511" s="738" t="e">
        <f>#REF!</f>
        <v>#REF!</v>
      </c>
      <c r="I511" s="739" t="e">
        <f t="shared" si="353"/>
        <v>#REF!</v>
      </c>
      <c r="J511" s="739" t="e">
        <f t="shared" si="354"/>
        <v>#REF!</v>
      </c>
      <c r="K511" s="740" t="e">
        <f t="shared" si="355"/>
        <v>#REF!</v>
      </c>
      <c r="L511" s="735" t="e">
        <f t="shared" si="344"/>
        <v>#REF!</v>
      </c>
      <c r="N511" s="741" t="e">
        <f t="shared" si="352"/>
        <v>#REF!</v>
      </c>
      <c r="O511" s="741" t="e">
        <f t="shared" si="308"/>
        <v>#REF!</v>
      </c>
    </row>
    <row r="512" spans="1:15" s="298" customFormat="1" ht="17.100000000000001" hidden="1" customHeight="1">
      <c r="A512" s="736" t="e">
        <f t="shared" si="341"/>
        <v>#REF!</v>
      </c>
      <c r="B512" s="296" t="s">
        <v>1567</v>
      </c>
      <c r="C512" s="296" t="s">
        <v>732</v>
      </c>
      <c r="D512" s="297" t="s">
        <v>2</v>
      </c>
      <c r="E512" s="788"/>
      <c r="F512" s="738" t="e">
        <f>#REF!</f>
        <v>#REF!</v>
      </c>
      <c r="G512" s="738" t="e">
        <f>#REF!</f>
        <v>#REF!</v>
      </c>
      <c r="H512" s="738" t="e">
        <f>#REF!</f>
        <v>#REF!</v>
      </c>
      <c r="I512" s="739" t="e">
        <f t="shared" si="353"/>
        <v>#REF!</v>
      </c>
      <c r="J512" s="739" t="e">
        <f t="shared" si="354"/>
        <v>#REF!</v>
      </c>
      <c r="K512" s="740" t="e">
        <f t="shared" si="355"/>
        <v>#REF!</v>
      </c>
      <c r="L512" s="735" t="e">
        <f t="shared" si="344"/>
        <v>#REF!</v>
      </c>
      <c r="N512" s="741" t="e">
        <f t="shared" si="352"/>
        <v>#REF!</v>
      </c>
      <c r="O512" s="741" t="e">
        <f t="shared" si="308"/>
        <v>#REF!</v>
      </c>
    </row>
    <row r="513" spans="1:15" s="298" customFormat="1" ht="17.100000000000001" hidden="1" customHeight="1">
      <c r="A513" s="736" t="e">
        <f t="shared" si="341"/>
        <v>#REF!</v>
      </c>
      <c r="B513" s="296" t="s">
        <v>84</v>
      </c>
      <c r="C513" s="296" t="s">
        <v>85</v>
      </c>
      <c r="D513" s="297" t="s">
        <v>9</v>
      </c>
      <c r="E513" s="788"/>
      <c r="F513" s="738" t="e">
        <f>#REF!</f>
        <v>#REF!</v>
      </c>
      <c r="G513" s="738" t="e">
        <f>#REF!</f>
        <v>#REF!</v>
      </c>
      <c r="H513" s="738" t="e">
        <f>#REF!</f>
        <v>#REF!</v>
      </c>
      <c r="I513" s="739" t="e">
        <f t="shared" si="353"/>
        <v>#REF!</v>
      </c>
      <c r="J513" s="739" t="e">
        <f t="shared" si="354"/>
        <v>#REF!</v>
      </c>
      <c r="K513" s="740" t="e">
        <f t="shared" si="355"/>
        <v>#REF!</v>
      </c>
      <c r="L513" s="735" t="e">
        <f t="shared" si="344"/>
        <v>#REF!</v>
      </c>
      <c r="N513" s="741" t="e">
        <f t="shared" si="352"/>
        <v>#REF!</v>
      </c>
      <c r="O513" s="741" t="e">
        <f t="shared" si="308"/>
        <v>#REF!</v>
      </c>
    </row>
    <row r="514" spans="1:15" s="298" customFormat="1" ht="17.100000000000001" customHeight="1">
      <c r="A514" s="839" t="e">
        <f t="shared" si="341"/>
        <v>#REF!</v>
      </c>
      <c r="B514" s="744" t="s">
        <v>1746</v>
      </c>
      <c r="C514" s="744" t="s">
        <v>0</v>
      </c>
      <c r="D514" s="745" t="s">
        <v>0</v>
      </c>
      <c r="E514" s="820"/>
      <c r="F514" s="746"/>
      <c r="G514" s="746"/>
      <c r="H514" s="746"/>
      <c r="I514" s="747"/>
      <c r="J514" s="747"/>
      <c r="K514" s="748"/>
      <c r="L514" s="735">
        <f t="shared" si="344"/>
        <v>1</v>
      </c>
      <c r="N514" s="741">
        <f t="shared" si="307"/>
        <v>0</v>
      </c>
      <c r="O514" s="741">
        <f t="shared" si="308"/>
        <v>0</v>
      </c>
    </row>
    <row r="515" spans="1:15" s="298" customFormat="1" ht="17.100000000000001" hidden="1" customHeight="1">
      <c r="A515" s="749" t="e">
        <f t="shared" si="341"/>
        <v>#REF!</v>
      </c>
      <c r="B515" s="730" t="s">
        <v>0</v>
      </c>
      <c r="C515" s="730" t="s">
        <v>1798</v>
      </c>
      <c r="D515" s="731" t="s">
        <v>0</v>
      </c>
      <c r="E515" s="819"/>
      <c r="F515" s="732"/>
      <c r="G515" s="732"/>
      <c r="H515" s="732"/>
      <c r="I515" s="733" t="e">
        <f>SUM(I516:I550)</f>
        <v>#REF!</v>
      </c>
      <c r="J515" s="733" t="e">
        <f>SUM(J516:J550)</f>
        <v>#REF!</v>
      </c>
      <c r="K515" s="734" t="e">
        <f>SUM(K516:K550)</f>
        <v>#REF!</v>
      </c>
      <c r="L515" s="735" t="e">
        <f t="shared" si="344"/>
        <v>#REF!</v>
      </c>
      <c r="N515" s="741">
        <f t="shared" si="307"/>
        <v>0</v>
      </c>
      <c r="O515" s="734" t="e">
        <f>SUM(O516:O550)</f>
        <v>#REF!</v>
      </c>
    </row>
    <row r="516" spans="1:15" s="298" customFormat="1" ht="17.100000000000001" hidden="1" customHeight="1">
      <c r="A516" s="736" t="e">
        <f t="shared" si="341"/>
        <v>#REF!</v>
      </c>
      <c r="B516" s="296"/>
      <c r="C516" s="737" t="s">
        <v>1556</v>
      </c>
      <c r="D516" s="297" t="s">
        <v>0</v>
      </c>
      <c r="E516" s="788"/>
      <c r="F516" s="738"/>
      <c r="G516" s="738"/>
      <c r="H516" s="738"/>
      <c r="I516" s="739"/>
      <c r="J516" s="739"/>
      <c r="K516" s="740"/>
      <c r="L516" s="735">
        <f t="shared" si="344"/>
        <v>0</v>
      </c>
      <c r="N516" s="741">
        <f t="shared" si="307"/>
        <v>0</v>
      </c>
      <c r="O516" s="741">
        <f t="shared" si="308"/>
        <v>0</v>
      </c>
    </row>
    <row r="517" spans="1:15" s="298" customFormat="1" ht="17.100000000000001" hidden="1" customHeight="1">
      <c r="A517" s="736" t="e">
        <f t="shared" si="341"/>
        <v>#REF!</v>
      </c>
      <c r="B517" s="296" t="s">
        <v>119</v>
      </c>
      <c r="C517" s="296" t="s">
        <v>631</v>
      </c>
      <c r="D517" s="297" t="s">
        <v>2</v>
      </c>
      <c r="E517" s="788"/>
      <c r="F517" s="738"/>
      <c r="G517" s="738" t="e">
        <f>#REF!</f>
        <v>#REF!</v>
      </c>
      <c r="H517" s="738"/>
      <c r="I517" s="739">
        <f>E517*F517</f>
        <v>0</v>
      </c>
      <c r="J517" s="739" t="e">
        <f>E517*G517</f>
        <v>#REF!</v>
      </c>
      <c r="K517" s="740">
        <f t="shared" ref="K517:K545" si="360">E517*H517</f>
        <v>0</v>
      </c>
      <c r="L517" s="735" t="e">
        <f t="shared" si="344"/>
        <v>#REF!</v>
      </c>
      <c r="N517" s="741" t="e">
        <f t="shared" si="307"/>
        <v>#REF!</v>
      </c>
      <c r="O517" s="741" t="e">
        <f t="shared" si="308"/>
        <v>#REF!</v>
      </c>
    </row>
    <row r="518" spans="1:15" s="298" customFormat="1" ht="17.100000000000001" hidden="1" customHeight="1">
      <c r="A518" s="736" t="e">
        <f t="shared" si="341"/>
        <v>#REF!</v>
      </c>
      <c r="B518" s="296" t="s">
        <v>1395</v>
      </c>
      <c r="C518" s="296" t="s">
        <v>634</v>
      </c>
      <c r="D518" s="297" t="s">
        <v>2</v>
      </c>
      <c r="E518" s="788"/>
      <c r="F518" s="738" t="e">
        <f>#REF!</f>
        <v>#REF!</v>
      </c>
      <c r="G518" s="738" t="e">
        <f>#REF!</f>
        <v>#REF!</v>
      </c>
      <c r="H518" s="738" t="e">
        <f>#REF!</f>
        <v>#REF!</v>
      </c>
      <c r="I518" s="739" t="e">
        <f>E518*F518</f>
        <v>#REF!</v>
      </c>
      <c r="J518" s="739" t="e">
        <f>E518*G518</f>
        <v>#REF!</v>
      </c>
      <c r="K518" s="740" t="e">
        <f t="shared" si="360"/>
        <v>#REF!</v>
      </c>
      <c r="L518" s="735" t="e">
        <f t="shared" si="344"/>
        <v>#REF!</v>
      </c>
      <c r="N518" s="741" t="e">
        <f t="shared" si="307"/>
        <v>#REF!</v>
      </c>
      <c r="O518" s="741" t="e">
        <f t="shared" si="308"/>
        <v>#REF!</v>
      </c>
    </row>
    <row r="519" spans="1:15" s="298" customFormat="1" ht="17.100000000000001" hidden="1" customHeight="1">
      <c r="A519" s="736" t="e">
        <f t="shared" si="341"/>
        <v>#REF!</v>
      </c>
      <c r="B519" s="296" t="s">
        <v>635</v>
      </c>
      <c r="C519" s="296" t="s">
        <v>636</v>
      </c>
      <c r="D519" s="297" t="s">
        <v>637</v>
      </c>
      <c r="E519" s="788"/>
      <c r="F519" s="738" t="e">
        <f>#REF!</f>
        <v>#REF!</v>
      </c>
      <c r="G519" s="738" t="e">
        <f>#REF!</f>
        <v>#REF!</v>
      </c>
      <c r="H519" s="738" t="e">
        <f>#REF!</f>
        <v>#REF!</v>
      </c>
      <c r="I519" s="739" t="e">
        <f>E519*F519</f>
        <v>#REF!</v>
      </c>
      <c r="J519" s="739" t="e">
        <f>E519*G519</f>
        <v>#REF!</v>
      </c>
      <c r="K519" s="740" t="e">
        <f t="shared" si="360"/>
        <v>#REF!</v>
      </c>
      <c r="L519" s="735" t="e">
        <f t="shared" si="344"/>
        <v>#REF!</v>
      </c>
      <c r="N519" s="741" t="e">
        <f t="shared" si="307"/>
        <v>#REF!</v>
      </c>
      <c r="O519" s="741" t="e">
        <f t="shared" si="308"/>
        <v>#REF!</v>
      </c>
    </row>
    <row r="520" spans="1:15" s="298" customFormat="1" ht="17.100000000000001" hidden="1" customHeight="1">
      <c r="A520" s="736" t="e">
        <f t="shared" si="341"/>
        <v>#REF!</v>
      </c>
      <c r="B520" s="296" t="s">
        <v>115</v>
      </c>
      <c r="C520" s="296" t="s">
        <v>638</v>
      </c>
      <c r="D520" s="297" t="s">
        <v>637</v>
      </c>
      <c r="E520" s="788"/>
      <c r="F520" s="738" t="e">
        <f>#REF!</f>
        <v>#REF!</v>
      </c>
      <c r="G520" s="738" t="e">
        <f>#REF!</f>
        <v>#REF!</v>
      </c>
      <c r="H520" s="738" t="e">
        <f>#REF!</f>
        <v>#REF!</v>
      </c>
      <c r="I520" s="739" t="e">
        <f>E520*F520</f>
        <v>#REF!</v>
      </c>
      <c r="J520" s="739" t="e">
        <f>E520*G520</f>
        <v>#REF!</v>
      </c>
      <c r="K520" s="740" t="e">
        <f t="shared" si="360"/>
        <v>#REF!</v>
      </c>
      <c r="L520" s="735" t="e">
        <f t="shared" si="344"/>
        <v>#REF!</v>
      </c>
      <c r="N520" s="741" t="e">
        <f t="shared" si="307"/>
        <v>#REF!</v>
      </c>
      <c r="O520" s="741" t="e">
        <f t="shared" si="308"/>
        <v>#REF!</v>
      </c>
    </row>
    <row r="521" spans="1:15" s="298" customFormat="1" ht="17.100000000000001" hidden="1" customHeight="1">
      <c r="A521" s="736" t="e">
        <f t="shared" si="341"/>
        <v>#REF!</v>
      </c>
      <c r="B521" s="296" t="s">
        <v>1557</v>
      </c>
      <c r="C521" s="296" t="s">
        <v>1558</v>
      </c>
      <c r="D521" s="297" t="s">
        <v>111</v>
      </c>
      <c r="E521" s="788"/>
      <c r="F521" s="738" t="e">
        <f>#REF!</f>
        <v>#REF!</v>
      </c>
      <c r="G521" s="738" t="e">
        <f>#REF!</f>
        <v>#REF!</v>
      </c>
      <c r="H521" s="738" t="e">
        <f>#REF!</f>
        <v>#REF!</v>
      </c>
      <c r="I521" s="739" t="e">
        <f t="shared" ref="I521:I528" si="361">E521*F521</f>
        <v>#REF!</v>
      </c>
      <c r="J521" s="739" t="e">
        <f t="shared" ref="J521:J528" si="362">E521*G521</f>
        <v>#REF!</v>
      </c>
      <c r="K521" s="740" t="e">
        <f t="shared" si="360"/>
        <v>#REF!</v>
      </c>
      <c r="L521" s="735" t="e">
        <f t="shared" si="344"/>
        <v>#REF!</v>
      </c>
      <c r="N521" s="741" t="e">
        <f t="shared" si="307"/>
        <v>#REF!</v>
      </c>
      <c r="O521" s="741" t="e">
        <f t="shared" si="308"/>
        <v>#REF!</v>
      </c>
    </row>
    <row r="522" spans="1:15" s="298" customFormat="1" ht="17.100000000000001" hidden="1" customHeight="1">
      <c r="A522" s="736" t="e">
        <f t="shared" si="341"/>
        <v>#REF!</v>
      </c>
      <c r="B522" s="296"/>
      <c r="C522" s="737" t="s">
        <v>1559</v>
      </c>
      <c r="D522" s="297" t="s">
        <v>0</v>
      </c>
      <c r="E522" s="788"/>
      <c r="F522" s="738"/>
      <c r="G522" s="738"/>
      <c r="H522" s="738"/>
      <c r="I522" s="739">
        <f t="shared" si="361"/>
        <v>0</v>
      </c>
      <c r="J522" s="739">
        <f t="shared" si="362"/>
        <v>0</v>
      </c>
      <c r="K522" s="740">
        <f t="shared" si="360"/>
        <v>0</v>
      </c>
      <c r="L522" s="735">
        <f t="shared" si="344"/>
        <v>0</v>
      </c>
      <c r="N522" s="741">
        <f t="shared" si="307"/>
        <v>0</v>
      </c>
      <c r="O522" s="741">
        <f t="shared" si="308"/>
        <v>0</v>
      </c>
    </row>
    <row r="523" spans="1:15" s="298" customFormat="1" ht="17.100000000000001" hidden="1" customHeight="1">
      <c r="A523" s="736" t="e">
        <f t="shared" si="341"/>
        <v>#REF!</v>
      </c>
      <c r="B523" s="296" t="s">
        <v>1395</v>
      </c>
      <c r="C523" s="296" t="s">
        <v>634</v>
      </c>
      <c r="D523" s="297" t="s">
        <v>2</v>
      </c>
      <c r="E523" s="788"/>
      <c r="F523" s="738" t="e">
        <f>#REF!</f>
        <v>#REF!</v>
      </c>
      <c r="G523" s="738" t="e">
        <f>#REF!</f>
        <v>#REF!</v>
      </c>
      <c r="H523" s="738" t="e">
        <f>#REF!</f>
        <v>#REF!</v>
      </c>
      <c r="I523" s="739" t="e">
        <f t="shared" si="361"/>
        <v>#REF!</v>
      </c>
      <c r="J523" s="739" t="e">
        <f t="shared" si="362"/>
        <v>#REF!</v>
      </c>
      <c r="K523" s="740" t="e">
        <f t="shared" si="360"/>
        <v>#REF!</v>
      </c>
      <c r="L523" s="735" t="e">
        <f t="shared" si="344"/>
        <v>#REF!</v>
      </c>
      <c r="N523" s="741" t="e">
        <f t="shared" ref="N523" si="363">SUM(F523:H523)*1.278</f>
        <v>#REF!</v>
      </c>
      <c r="O523" s="741" t="e">
        <f t="shared" ref="O523" si="364">N523*E523</f>
        <v>#REF!</v>
      </c>
    </row>
    <row r="524" spans="1:15" s="298" customFormat="1" ht="17.100000000000001" hidden="1" customHeight="1">
      <c r="A524" s="736" t="e">
        <f t="shared" ref="A524:A587" si="365">IF(SUM(F524:H524)&lt;&gt;0,A523+L524,A523)</f>
        <v>#REF!</v>
      </c>
      <c r="B524" s="296" t="s">
        <v>632</v>
      </c>
      <c r="C524" s="296" t="s">
        <v>633</v>
      </c>
      <c r="D524" s="297" t="s">
        <v>111</v>
      </c>
      <c r="E524" s="788"/>
      <c r="F524" s="738" t="e">
        <f>#REF!</f>
        <v>#REF!</v>
      </c>
      <c r="G524" s="738" t="e">
        <f>#REF!</f>
        <v>#REF!</v>
      </c>
      <c r="H524" s="738"/>
      <c r="I524" s="739" t="e">
        <f t="shared" si="361"/>
        <v>#REF!</v>
      </c>
      <c r="J524" s="739" t="e">
        <f t="shared" si="362"/>
        <v>#REF!</v>
      </c>
      <c r="K524" s="740">
        <f t="shared" si="360"/>
        <v>0</v>
      </c>
      <c r="L524" s="735" t="e">
        <f t="shared" si="344"/>
        <v>#REF!</v>
      </c>
      <c r="N524" s="741" t="e">
        <f t="shared" si="307"/>
        <v>#REF!</v>
      </c>
      <c r="O524" s="741" t="e">
        <f t="shared" si="308"/>
        <v>#REF!</v>
      </c>
    </row>
    <row r="525" spans="1:15" s="298" customFormat="1" ht="17.100000000000001" hidden="1" customHeight="1">
      <c r="A525" s="736" t="e">
        <f t="shared" si="365"/>
        <v>#REF!</v>
      </c>
      <c r="B525" s="296"/>
      <c r="C525" s="737" t="s">
        <v>1786</v>
      </c>
      <c r="D525" s="297" t="s">
        <v>1658</v>
      </c>
      <c r="E525" s="842"/>
      <c r="F525" s="738"/>
      <c r="G525" s="738"/>
      <c r="H525" s="738"/>
      <c r="I525" s="739">
        <f t="shared" si="361"/>
        <v>0</v>
      </c>
      <c r="J525" s="739">
        <f t="shared" si="362"/>
        <v>0</v>
      </c>
      <c r="K525" s="740">
        <f t="shared" si="360"/>
        <v>0</v>
      </c>
      <c r="L525" s="735">
        <f t="shared" si="344"/>
        <v>0</v>
      </c>
      <c r="N525" s="741">
        <f t="shared" si="307"/>
        <v>0</v>
      </c>
      <c r="O525" s="741">
        <f t="shared" si="308"/>
        <v>0</v>
      </c>
    </row>
    <row r="526" spans="1:15" s="298" customFormat="1" ht="17.100000000000001" hidden="1" customHeight="1">
      <c r="A526" s="736" t="e">
        <f t="shared" si="365"/>
        <v>#REF!</v>
      </c>
      <c r="B526" s="296" t="s">
        <v>643</v>
      </c>
      <c r="C526" s="296" t="s">
        <v>604</v>
      </c>
      <c r="D526" s="297" t="s">
        <v>310</v>
      </c>
      <c r="E526" s="842"/>
      <c r="F526" s="738"/>
      <c r="G526" s="738" t="e">
        <f>#REF!</f>
        <v>#REF!</v>
      </c>
      <c r="H526" s="738"/>
      <c r="I526" s="739">
        <f t="shared" si="361"/>
        <v>0</v>
      </c>
      <c r="J526" s="739" t="e">
        <f t="shared" si="362"/>
        <v>#REF!</v>
      </c>
      <c r="K526" s="740">
        <f t="shared" si="360"/>
        <v>0</v>
      </c>
      <c r="L526" s="735" t="e">
        <f t="shared" si="344"/>
        <v>#REF!</v>
      </c>
      <c r="N526" s="741" t="e">
        <f>SUM(F526:H526)*1.2638</f>
        <v>#REF!</v>
      </c>
      <c r="O526" s="741" t="e">
        <f>N526*E526</f>
        <v>#REF!</v>
      </c>
    </row>
    <row r="527" spans="1:15" s="298" customFormat="1" ht="17.100000000000001" hidden="1" customHeight="1">
      <c r="A527" s="736" t="e">
        <f t="shared" si="365"/>
        <v>#REF!</v>
      </c>
      <c r="B527" s="296" t="s">
        <v>602</v>
      </c>
      <c r="C527" s="296" t="s">
        <v>639</v>
      </c>
      <c r="D527" s="297" t="s">
        <v>310</v>
      </c>
      <c r="E527" s="842"/>
      <c r="F527" s="738"/>
      <c r="G527" s="738" t="e">
        <f>#REF!</f>
        <v>#REF!</v>
      </c>
      <c r="H527" s="738" t="e">
        <f>#REF!</f>
        <v>#REF!</v>
      </c>
      <c r="I527" s="739">
        <f t="shared" si="361"/>
        <v>0</v>
      </c>
      <c r="J527" s="739" t="e">
        <f t="shared" si="362"/>
        <v>#REF!</v>
      </c>
      <c r="K527" s="740" t="e">
        <f t="shared" si="360"/>
        <v>#REF!</v>
      </c>
      <c r="L527" s="735" t="e">
        <f t="shared" si="344"/>
        <v>#REF!</v>
      </c>
      <c r="N527" s="741" t="e">
        <f t="shared" ref="N527:N528" si="366">SUM(F527:H527)*1.2638</f>
        <v>#REF!</v>
      </c>
      <c r="O527" s="741" t="e">
        <f t="shared" si="308"/>
        <v>#REF!</v>
      </c>
    </row>
    <row r="528" spans="1:15" s="298" customFormat="1" ht="17.100000000000001" hidden="1" customHeight="1">
      <c r="A528" s="736" t="e">
        <f t="shared" si="365"/>
        <v>#REF!</v>
      </c>
      <c r="B528" s="296" t="s">
        <v>603</v>
      </c>
      <c r="C528" s="296" t="s">
        <v>640</v>
      </c>
      <c r="D528" s="297" t="s">
        <v>310</v>
      </c>
      <c r="E528" s="842"/>
      <c r="F528" s="738"/>
      <c r="G528" s="738" t="e">
        <f>#REF!</f>
        <v>#REF!</v>
      </c>
      <c r="H528" s="738" t="e">
        <f>#REF!</f>
        <v>#REF!</v>
      </c>
      <c r="I528" s="739">
        <f t="shared" si="361"/>
        <v>0</v>
      </c>
      <c r="J528" s="739" t="e">
        <f t="shared" si="362"/>
        <v>#REF!</v>
      </c>
      <c r="K528" s="740" t="e">
        <f t="shared" si="360"/>
        <v>#REF!</v>
      </c>
      <c r="L528" s="735" t="e">
        <f t="shared" si="344"/>
        <v>#REF!</v>
      </c>
      <c r="N528" s="741" t="e">
        <f t="shared" si="366"/>
        <v>#REF!</v>
      </c>
      <c r="O528" s="741" t="e">
        <f t="shared" ref="O528:O610" si="367">N528*E528</f>
        <v>#REF!</v>
      </c>
    </row>
    <row r="529" spans="1:15" s="298" customFormat="1" ht="17.100000000000001" hidden="1" customHeight="1">
      <c r="A529" s="736" t="e">
        <f t="shared" si="365"/>
        <v>#REF!</v>
      </c>
      <c r="B529" s="296" t="s">
        <v>119</v>
      </c>
      <c r="C529" s="296" t="s">
        <v>641</v>
      </c>
      <c r="D529" s="297" t="s">
        <v>2</v>
      </c>
      <c r="E529" s="788"/>
      <c r="F529" s="738"/>
      <c r="G529" s="738" t="e">
        <f>#REF!</f>
        <v>#REF!</v>
      </c>
      <c r="H529" s="738"/>
      <c r="I529" s="739">
        <f t="shared" ref="I529:I541" si="368">E529*F529</f>
        <v>0</v>
      </c>
      <c r="J529" s="739" t="e">
        <f t="shared" ref="J529:J541" si="369">E529*G529</f>
        <v>#REF!</v>
      </c>
      <c r="K529" s="740">
        <f t="shared" si="360"/>
        <v>0</v>
      </c>
      <c r="L529" s="735" t="e">
        <f t="shared" si="344"/>
        <v>#REF!</v>
      </c>
      <c r="N529" s="741" t="e">
        <f t="shared" ref="N529:N610" si="370">SUM(F529:H529)*1.278</f>
        <v>#REF!</v>
      </c>
      <c r="O529" s="741" t="e">
        <f t="shared" si="367"/>
        <v>#REF!</v>
      </c>
    </row>
    <row r="530" spans="1:15" s="298" customFormat="1" ht="17.100000000000001" hidden="1" customHeight="1">
      <c r="A530" s="736" t="e">
        <f t="shared" si="365"/>
        <v>#REF!</v>
      </c>
      <c r="B530" s="296" t="s">
        <v>78</v>
      </c>
      <c r="C530" s="296" t="s">
        <v>642</v>
      </c>
      <c r="D530" s="297" t="s">
        <v>2</v>
      </c>
      <c r="E530" s="788"/>
      <c r="F530" s="738" t="e">
        <f>#REF!</f>
        <v>#REF!</v>
      </c>
      <c r="G530" s="738" t="e">
        <f>#REF!</f>
        <v>#REF!</v>
      </c>
      <c r="H530" s="738" t="e">
        <f>#REF!</f>
        <v>#REF!</v>
      </c>
      <c r="I530" s="739" t="e">
        <f t="shared" si="368"/>
        <v>#REF!</v>
      </c>
      <c r="J530" s="739" t="e">
        <f t="shared" si="369"/>
        <v>#REF!</v>
      </c>
      <c r="K530" s="740" t="e">
        <f t="shared" si="360"/>
        <v>#REF!</v>
      </c>
      <c r="L530" s="735" t="e">
        <f t="shared" si="344"/>
        <v>#REF!</v>
      </c>
      <c r="N530" s="741" t="e">
        <f t="shared" si="370"/>
        <v>#REF!</v>
      </c>
      <c r="O530" s="741" t="e">
        <f t="shared" si="367"/>
        <v>#REF!</v>
      </c>
    </row>
    <row r="531" spans="1:15" s="298" customFormat="1" ht="17.100000000000001" hidden="1" customHeight="1">
      <c r="A531" s="736" t="e">
        <f t="shared" si="365"/>
        <v>#REF!</v>
      </c>
      <c r="B531" s="296" t="s">
        <v>605</v>
      </c>
      <c r="C531" s="296" t="s">
        <v>644</v>
      </c>
      <c r="D531" s="297" t="s">
        <v>577</v>
      </c>
      <c r="E531" s="842"/>
      <c r="F531" s="738" t="e">
        <f>#REF!</f>
        <v>#REF!</v>
      </c>
      <c r="G531" s="738"/>
      <c r="H531" s="738"/>
      <c r="I531" s="739" t="e">
        <f t="shared" si="368"/>
        <v>#REF!</v>
      </c>
      <c r="J531" s="739">
        <f t="shared" si="369"/>
        <v>0</v>
      </c>
      <c r="K531" s="740">
        <f t="shared" si="360"/>
        <v>0</v>
      </c>
      <c r="L531" s="735" t="e">
        <f t="shared" si="344"/>
        <v>#REF!</v>
      </c>
      <c r="N531" s="741" t="e">
        <f t="shared" ref="N531:N533" si="371">SUM(F531:H531)*1.2638</f>
        <v>#REF!</v>
      </c>
      <c r="O531" s="741" t="e">
        <f t="shared" si="367"/>
        <v>#REF!</v>
      </c>
    </row>
    <row r="532" spans="1:15" s="298" customFormat="1" ht="17.100000000000001" hidden="1" customHeight="1">
      <c r="A532" s="736" t="e">
        <f t="shared" si="365"/>
        <v>#REF!</v>
      </c>
      <c r="B532" s="296" t="s">
        <v>608</v>
      </c>
      <c r="C532" s="296" t="s">
        <v>1758</v>
      </c>
      <c r="D532" s="297" t="s">
        <v>577</v>
      </c>
      <c r="E532" s="842"/>
      <c r="F532" s="738" t="e">
        <f>#REF!</f>
        <v>#REF!</v>
      </c>
      <c r="G532" s="738"/>
      <c r="H532" s="738"/>
      <c r="I532" s="739" t="e">
        <f t="shared" si="368"/>
        <v>#REF!</v>
      </c>
      <c r="J532" s="739">
        <f t="shared" si="369"/>
        <v>0</v>
      </c>
      <c r="K532" s="740">
        <f t="shared" si="360"/>
        <v>0</v>
      </c>
      <c r="L532" s="735" t="e">
        <f t="shared" si="344"/>
        <v>#REF!</v>
      </c>
      <c r="N532" s="741" t="e">
        <f t="shared" si="371"/>
        <v>#REF!</v>
      </c>
      <c r="O532" s="741" t="e">
        <f t="shared" si="367"/>
        <v>#REF!</v>
      </c>
    </row>
    <row r="533" spans="1:15" s="298" customFormat="1" ht="17.100000000000001" hidden="1" customHeight="1">
      <c r="A533" s="736" t="e">
        <f t="shared" si="365"/>
        <v>#REF!</v>
      </c>
      <c r="B533" s="296" t="s">
        <v>645</v>
      </c>
      <c r="C533" s="296" t="s">
        <v>646</v>
      </c>
      <c r="D533" s="297" t="s">
        <v>577</v>
      </c>
      <c r="E533" s="842"/>
      <c r="F533" s="738" t="e">
        <f>#REF!</f>
        <v>#REF!</v>
      </c>
      <c r="G533" s="738"/>
      <c r="H533" s="738"/>
      <c r="I533" s="739" t="e">
        <f t="shared" si="368"/>
        <v>#REF!</v>
      </c>
      <c r="J533" s="739">
        <f t="shared" si="369"/>
        <v>0</v>
      </c>
      <c r="K533" s="740">
        <f t="shared" si="360"/>
        <v>0</v>
      </c>
      <c r="L533" s="735" t="e">
        <f t="shared" si="344"/>
        <v>#REF!</v>
      </c>
      <c r="N533" s="741" t="e">
        <f t="shared" si="371"/>
        <v>#REF!</v>
      </c>
      <c r="O533" s="741" t="e">
        <f t="shared" si="367"/>
        <v>#REF!</v>
      </c>
    </row>
    <row r="534" spans="1:15" s="298" customFormat="1" ht="17.100000000000001" hidden="1" customHeight="1">
      <c r="A534" s="736" t="e">
        <f t="shared" si="365"/>
        <v>#REF!</v>
      </c>
      <c r="B534" s="296" t="s">
        <v>1560</v>
      </c>
      <c r="C534" s="296" t="s">
        <v>646</v>
      </c>
      <c r="D534" s="297" t="s">
        <v>577</v>
      </c>
      <c r="E534" s="788"/>
      <c r="F534" s="738" t="e">
        <f>#REF!</f>
        <v>#REF!</v>
      </c>
      <c r="G534" s="738"/>
      <c r="H534" s="738"/>
      <c r="I534" s="739" t="e">
        <f>E534*F534</f>
        <v>#REF!</v>
      </c>
      <c r="J534" s="739">
        <f>E534*G534</f>
        <v>0</v>
      </c>
      <c r="K534" s="740">
        <f t="shared" si="360"/>
        <v>0</v>
      </c>
      <c r="L534" s="735" t="e">
        <f t="shared" si="344"/>
        <v>#REF!</v>
      </c>
      <c r="N534" s="741" t="e">
        <f t="shared" si="370"/>
        <v>#REF!</v>
      </c>
      <c r="O534" s="741" t="e">
        <f t="shared" si="367"/>
        <v>#REF!</v>
      </c>
    </row>
    <row r="535" spans="1:15" s="298" customFormat="1" ht="17.100000000000001" hidden="1" customHeight="1">
      <c r="A535" s="736" t="e">
        <f t="shared" si="365"/>
        <v>#REF!</v>
      </c>
      <c r="B535" s="296" t="s">
        <v>647</v>
      </c>
      <c r="C535" s="296" t="s">
        <v>648</v>
      </c>
      <c r="D535" s="297" t="s">
        <v>577</v>
      </c>
      <c r="E535" s="788"/>
      <c r="F535" s="738" t="e">
        <f>#REF!</f>
        <v>#REF!</v>
      </c>
      <c r="G535" s="738"/>
      <c r="H535" s="738"/>
      <c r="I535" s="739" t="e">
        <f t="shared" si="368"/>
        <v>#REF!</v>
      </c>
      <c r="J535" s="739">
        <f t="shared" si="369"/>
        <v>0</v>
      </c>
      <c r="K535" s="740">
        <f t="shared" si="360"/>
        <v>0</v>
      </c>
      <c r="L535" s="735" t="e">
        <f t="shared" si="344"/>
        <v>#REF!</v>
      </c>
      <c r="N535" s="741" t="e">
        <f t="shared" si="370"/>
        <v>#REF!</v>
      </c>
      <c r="O535" s="741" t="e">
        <f t="shared" si="367"/>
        <v>#REF!</v>
      </c>
    </row>
    <row r="536" spans="1:15" s="298" customFormat="1" ht="17.100000000000001" hidden="1" customHeight="1">
      <c r="A536" s="736" t="e">
        <f t="shared" si="365"/>
        <v>#REF!</v>
      </c>
      <c r="B536" s="296" t="s">
        <v>649</v>
      </c>
      <c r="C536" s="296" t="s">
        <v>650</v>
      </c>
      <c r="D536" s="297" t="s">
        <v>577</v>
      </c>
      <c r="E536" s="1085"/>
      <c r="F536" s="738" t="e">
        <f>#REF!</f>
        <v>#REF!</v>
      </c>
      <c r="G536" s="738"/>
      <c r="H536" s="738"/>
      <c r="I536" s="739" t="e">
        <f t="shared" si="368"/>
        <v>#REF!</v>
      </c>
      <c r="J536" s="739">
        <f t="shared" si="369"/>
        <v>0</v>
      </c>
      <c r="K536" s="740">
        <f t="shared" si="360"/>
        <v>0</v>
      </c>
      <c r="L536" s="735" t="e">
        <f t="shared" si="344"/>
        <v>#REF!</v>
      </c>
      <c r="N536" s="741" t="e">
        <f t="shared" ref="N536:N542" si="372">SUM(F536:H536)*1.2638</f>
        <v>#REF!</v>
      </c>
      <c r="O536" s="741" t="e">
        <f t="shared" si="367"/>
        <v>#REF!</v>
      </c>
    </row>
    <row r="537" spans="1:15" s="298" customFormat="1" ht="17.100000000000001" hidden="1" customHeight="1">
      <c r="A537" s="736" t="e">
        <f t="shared" si="365"/>
        <v>#REF!</v>
      </c>
      <c r="B537" s="296" t="s">
        <v>651</v>
      </c>
      <c r="C537" s="296" t="s">
        <v>652</v>
      </c>
      <c r="D537" s="297" t="s">
        <v>577</v>
      </c>
      <c r="E537" s="842"/>
      <c r="F537" s="738" t="e">
        <f>#REF!</f>
        <v>#REF!</v>
      </c>
      <c r="G537" s="738"/>
      <c r="H537" s="738"/>
      <c r="I537" s="739" t="e">
        <f t="shared" si="368"/>
        <v>#REF!</v>
      </c>
      <c r="J537" s="739">
        <f t="shared" si="369"/>
        <v>0</v>
      </c>
      <c r="K537" s="740">
        <f t="shared" si="360"/>
        <v>0</v>
      </c>
      <c r="L537" s="735" t="e">
        <f t="shared" si="344"/>
        <v>#REF!</v>
      </c>
      <c r="N537" s="741" t="e">
        <f t="shared" si="372"/>
        <v>#REF!</v>
      </c>
      <c r="O537" s="741" t="e">
        <f t="shared" si="367"/>
        <v>#REF!</v>
      </c>
    </row>
    <row r="538" spans="1:15" s="298" customFormat="1" ht="17.100000000000001" hidden="1" customHeight="1">
      <c r="A538" s="736" t="e">
        <f t="shared" si="365"/>
        <v>#REF!</v>
      </c>
      <c r="B538" s="296" t="s">
        <v>609</v>
      </c>
      <c r="C538" s="296" t="s">
        <v>653</v>
      </c>
      <c r="D538" s="297" t="s">
        <v>577</v>
      </c>
      <c r="E538" s="788"/>
      <c r="F538" s="738" t="e">
        <f>#REF!</f>
        <v>#REF!</v>
      </c>
      <c r="G538" s="738"/>
      <c r="H538" s="738"/>
      <c r="I538" s="739" t="e">
        <f t="shared" si="368"/>
        <v>#REF!</v>
      </c>
      <c r="J538" s="739">
        <f t="shared" si="369"/>
        <v>0</v>
      </c>
      <c r="K538" s="740">
        <f t="shared" si="360"/>
        <v>0</v>
      </c>
      <c r="L538" s="735" t="e">
        <f t="shared" si="344"/>
        <v>#REF!</v>
      </c>
      <c r="N538" s="741" t="e">
        <f t="shared" si="372"/>
        <v>#REF!</v>
      </c>
      <c r="O538" s="741" t="e">
        <f t="shared" si="367"/>
        <v>#REF!</v>
      </c>
    </row>
    <row r="539" spans="1:15" s="298" customFormat="1" ht="17.100000000000001" hidden="1" customHeight="1">
      <c r="A539" s="736" t="e">
        <f t="shared" si="365"/>
        <v>#REF!</v>
      </c>
      <c r="B539" s="296" t="s">
        <v>654</v>
      </c>
      <c r="C539" s="296" t="s">
        <v>655</v>
      </c>
      <c r="D539" s="297" t="s">
        <v>577</v>
      </c>
      <c r="E539" s="788"/>
      <c r="F539" s="738" t="e">
        <f>#REF!</f>
        <v>#REF!</v>
      </c>
      <c r="G539" s="738"/>
      <c r="H539" s="738"/>
      <c r="I539" s="739" t="e">
        <f t="shared" si="368"/>
        <v>#REF!</v>
      </c>
      <c r="J539" s="739">
        <f t="shared" si="369"/>
        <v>0</v>
      </c>
      <c r="K539" s="740">
        <f t="shared" si="360"/>
        <v>0</v>
      </c>
      <c r="L539" s="735" t="e">
        <f t="shared" si="344"/>
        <v>#REF!</v>
      </c>
      <c r="N539" s="741" t="e">
        <f t="shared" si="372"/>
        <v>#REF!</v>
      </c>
      <c r="O539" s="741" t="e">
        <f t="shared" si="367"/>
        <v>#REF!</v>
      </c>
    </row>
    <row r="540" spans="1:15" s="298" customFormat="1" ht="17.100000000000001" hidden="1" customHeight="1">
      <c r="A540" s="736" t="e">
        <f t="shared" si="365"/>
        <v>#REF!</v>
      </c>
      <c r="B540" s="296" t="s">
        <v>656</v>
      </c>
      <c r="C540" s="296" t="s">
        <v>657</v>
      </c>
      <c r="D540" s="297" t="s">
        <v>577</v>
      </c>
      <c r="E540" s="788"/>
      <c r="F540" s="738" t="e">
        <f>#REF!</f>
        <v>#REF!</v>
      </c>
      <c r="G540" s="738"/>
      <c r="H540" s="738"/>
      <c r="I540" s="739" t="e">
        <f t="shared" si="368"/>
        <v>#REF!</v>
      </c>
      <c r="J540" s="739">
        <f t="shared" si="369"/>
        <v>0</v>
      </c>
      <c r="K540" s="740">
        <f t="shared" si="360"/>
        <v>0</v>
      </c>
      <c r="L540" s="735" t="e">
        <f t="shared" si="344"/>
        <v>#REF!</v>
      </c>
      <c r="N540" s="741" t="e">
        <f t="shared" si="372"/>
        <v>#REF!</v>
      </c>
      <c r="O540" s="741" t="e">
        <f t="shared" si="367"/>
        <v>#REF!</v>
      </c>
    </row>
    <row r="541" spans="1:15" s="298" customFormat="1" ht="17.100000000000001" hidden="1" customHeight="1">
      <c r="A541" s="736" t="e">
        <f t="shared" si="365"/>
        <v>#REF!</v>
      </c>
      <c r="B541" s="296"/>
      <c r="C541" s="737" t="s">
        <v>1787</v>
      </c>
      <c r="D541" s="297" t="s">
        <v>0</v>
      </c>
      <c r="E541" s="788"/>
      <c r="F541" s="738"/>
      <c r="G541" s="738"/>
      <c r="H541" s="738"/>
      <c r="I541" s="739">
        <f t="shared" si="368"/>
        <v>0</v>
      </c>
      <c r="J541" s="739">
        <f t="shared" si="369"/>
        <v>0</v>
      </c>
      <c r="K541" s="740">
        <f t="shared" si="360"/>
        <v>0</v>
      </c>
      <c r="L541" s="735">
        <f t="shared" ref="L541:L609" si="373">IF(OR(SUM(I541:K541)&lt;&gt;0,B541="*"),$L$5,0)</f>
        <v>0</v>
      </c>
      <c r="N541" s="741">
        <f t="shared" si="372"/>
        <v>0</v>
      </c>
      <c r="O541" s="741">
        <f t="shared" si="367"/>
        <v>0</v>
      </c>
    </row>
    <row r="542" spans="1:15" s="298" customFormat="1" ht="17.100000000000001" hidden="1" customHeight="1">
      <c r="A542" s="736" t="e">
        <f t="shared" si="365"/>
        <v>#REF!</v>
      </c>
      <c r="B542" s="296" t="s">
        <v>1561</v>
      </c>
      <c r="C542" s="296" t="s">
        <v>658</v>
      </c>
      <c r="D542" s="297" t="s">
        <v>45</v>
      </c>
      <c r="E542" s="788"/>
      <c r="F542" s="738" t="e">
        <f>#REF!</f>
        <v>#REF!</v>
      </c>
      <c r="G542" s="738" t="e">
        <f>#REF!</f>
        <v>#REF!</v>
      </c>
      <c r="H542" s="738" t="e">
        <f>#REF!</f>
        <v>#REF!</v>
      </c>
      <c r="I542" s="739" t="e">
        <f>E542*F542</f>
        <v>#REF!</v>
      </c>
      <c r="J542" s="739" t="e">
        <f>E542*G542</f>
        <v>#REF!</v>
      </c>
      <c r="K542" s="740" t="e">
        <f t="shared" si="360"/>
        <v>#REF!</v>
      </c>
      <c r="L542" s="735" t="e">
        <f t="shared" si="373"/>
        <v>#REF!</v>
      </c>
      <c r="N542" s="741" t="e">
        <f t="shared" si="372"/>
        <v>#REF!</v>
      </c>
      <c r="O542" s="741" t="e">
        <f t="shared" si="367"/>
        <v>#REF!</v>
      </c>
    </row>
    <row r="543" spans="1:15" s="298" customFormat="1" ht="17.100000000000001" hidden="1" customHeight="1">
      <c r="A543" s="736" t="e">
        <f t="shared" si="365"/>
        <v>#REF!</v>
      </c>
      <c r="B543" s="296" t="s">
        <v>1562</v>
      </c>
      <c r="C543" s="296" t="s">
        <v>1563</v>
      </c>
      <c r="D543" s="297" t="s">
        <v>45</v>
      </c>
      <c r="E543" s="788"/>
      <c r="F543" s="738" t="e">
        <f>#REF!</f>
        <v>#REF!</v>
      </c>
      <c r="G543" s="738" t="e">
        <f>#REF!</f>
        <v>#REF!</v>
      </c>
      <c r="H543" s="738" t="e">
        <f>#REF!</f>
        <v>#REF!</v>
      </c>
      <c r="I543" s="739" t="e">
        <f>E543*F543</f>
        <v>#REF!</v>
      </c>
      <c r="J543" s="739" t="e">
        <f>E543*G543</f>
        <v>#REF!</v>
      </c>
      <c r="K543" s="740" t="e">
        <f t="shared" si="360"/>
        <v>#REF!</v>
      </c>
      <c r="L543" s="735" t="e">
        <f t="shared" si="373"/>
        <v>#REF!</v>
      </c>
      <c r="N543" s="741" t="e">
        <f t="shared" si="370"/>
        <v>#REF!</v>
      </c>
      <c r="O543" s="741" t="e">
        <f t="shared" si="367"/>
        <v>#REF!</v>
      </c>
    </row>
    <row r="544" spans="1:15" s="298" customFormat="1" ht="17.100000000000001" hidden="1" customHeight="1">
      <c r="A544" s="736" t="e">
        <f t="shared" si="365"/>
        <v>#REF!</v>
      </c>
      <c r="B544" s="296" t="s">
        <v>1767</v>
      </c>
      <c r="C544" s="296" t="s">
        <v>1768</v>
      </c>
      <c r="D544" s="297" t="s">
        <v>45</v>
      </c>
      <c r="E544" s="788"/>
      <c r="F544" s="738" t="e">
        <f>#REF!</f>
        <v>#REF!</v>
      </c>
      <c r="G544" s="738" t="e">
        <f>#REF!</f>
        <v>#REF!</v>
      </c>
      <c r="H544" s="738" t="e">
        <f>#REF!</f>
        <v>#REF!</v>
      </c>
      <c r="I544" s="739" t="e">
        <f>E544*F544</f>
        <v>#REF!</v>
      </c>
      <c r="J544" s="739" t="e">
        <f>E544*G544</f>
        <v>#REF!</v>
      </c>
      <c r="K544" s="740" t="e">
        <f t="shared" ref="K544" si="374">E544*H544</f>
        <v>#REF!</v>
      </c>
      <c r="L544" s="735" t="e">
        <f t="shared" ref="L544" si="375">IF(OR(SUM(I544:K544)&lt;&gt;0,B544="*"),$L$5,0)</f>
        <v>#REF!</v>
      </c>
      <c r="N544" s="741" t="e">
        <f t="shared" ref="N544" si="376">SUM(F544:H544)*1.278</f>
        <v>#REF!</v>
      </c>
      <c r="O544" s="741" t="e">
        <f t="shared" ref="O544" si="377">N544*E544</f>
        <v>#REF!</v>
      </c>
    </row>
    <row r="545" spans="1:17" s="298" customFormat="1" ht="17.100000000000001" hidden="1" customHeight="1">
      <c r="A545" s="736" t="e">
        <f t="shared" si="365"/>
        <v>#REF!</v>
      </c>
      <c r="B545" s="296" t="s">
        <v>1564</v>
      </c>
      <c r="C545" s="296" t="s">
        <v>1565</v>
      </c>
      <c r="D545" s="297" t="s">
        <v>45</v>
      </c>
      <c r="E545" s="788"/>
      <c r="F545" s="738" t="e">
        <f>#REF!</f>
        <v>#REF!</v>
      </c>
      <c r="G545" s="738" t="e">
        <f>#REF!</f>
        <v>#REF!</v>
      </c>
      <c r="H545" s="738" t="e">
        <f>#REF!</f>
        <v>#REF!</v>
      </c>
      <c r="I545" s="739" t="e">
        <f>E545*F545</f>
        <v>#REF!</v>
      </c>
      <c r="J545" s="739" t="e">
        <f>E545*G545</f>
        <v>#REF!</v>
      </c>
      <c r="K545" s="740" t="e">
        <f t="shared" si="360"/>
        <v>#REF!</v>
      </c>
      <c r="L545" s="735" t="e">
        <f t="shared" si="373"/>
        <v>#REF!</v>
      </c>
      <c r="N545" s="741" t="e">
        <f t="shared" si="370"/>
        <v>#REF!</v>
      </c>
      <c r="O545" s="741" t="e">
        <f t="shared" si="367"/>
        <v>#REF!</v>
      </c>
    </row>
    <row r="546" spans="1:17" s="298" customFormat="1" ht="17.100000000000001" hidden="1" customHeight="1">
      <c r="A546" s="736" t="e">
        <f t="shared" si="365"/>
        <v>#REF!</v>
      </c>
      <c r="B546" s="296"/>
      <c r="C546" s="737" t="s">
        <v>1788</v>
      </c>
      <c r="D546" s="297" t="s">
        <v>0</v>
      </c>
      <c r="E546" s="788"/>
      <c r="F546" s="738"/>
      <c r="G546" s="738"/>
      <c r="H546" s="738"/>
      <c r="I546" s="739"/>
      <c r="J546" s="739"/>
      <c r="K546" s="740"/>
      <c r="L546" s="735">
        <f t="shared" si="373"/>
        <v>0</v>
      </c>
      <c r="N546" s="741">
        <f t="shared" si="370"/>
        <v>0</v>
      </c>
      <c r="O546" s="741">
        <f t="shared" si="367"/>
        <v>0</v>
      </c>
    </row>
    <row r="547" spans="1:17" s="298" customFormat="1" ht="17.100000000000001" hidden="1" customHeight="1">
      <c r="A547" s="736" t="e">
        <f t="shared" si="365"/>
        <v>#REF!</v>
      </c>
      <c r="B547" s="296" t="s">
        <v>119</v>
      </c>
      <c r="C547" s="296" t="s">
        <v>1778</v>
      </c>
      <c r="D547" s="297" t="s">
        <v>2</v>
      </c>
      <c r="E547" s="788"/>
      <c r="F547" s="738"/>
      <c r="G547" s="738" t="e">
        <f>#REF!</f>
        <v>#REF!</v>
      </c>
      <c r="H547" s="738"/>
      <c r="I547" s="739">
        <f>E547*F547</f>
        <v>0</v>
      </c>
      <c r="J547" s="739" t="e">
        <f>E547*G547</f>
        <v>#REF!</v>
      </c>
      <c r="K547" s="740">
        <f t="shared" ref="K547:K549" si="378">E547*H547</f>
        <v>0</v>
      </c>
      <c r="L547" s="735" t="e">
        <f t="shared" si="373"/>
        <v>#REF!</v>
      </c>
      <c r="N547" s="741" t="e">
        <f t="shared" si="370"/>
        <v>#REF!</v>
      </c>
      <c r="O547" s="741" t="e">
        <f t="shared" si="367"/>
        <v>#REF!</v>
      </c>
    </row>
    <row r="548" spans="1:17" s="298" customFormat="1" ht="17.100000000000001" hidden="1" customHeight="1">
      <c r="A548" s="736" t="e">
        <f t="shared" si="365"/>
        <v>#REF!</v>
      </c>
      <c r="B548" s="296" t="s">
        <v>1395</v>
      </c>
      <c r="C548" s="296" t="s">
        <v>1779</v>
      </c>
      <c r="D548" s="297" t="s">
        <v>2</v>
      </c>
      <c r="E548" s="788"/>
      <c r="F548" s="738" t="e">
        <f>#REF!</f>
        <v>#REF!</v>
      </c>
      <c r="G548" s="738" t="e">
        <f>#REF!</f>
        <v>#REF!</v>
      </c>
      <c r="H548" s="738" t="e">
        <f>#REF!</f>
        <v>#REF!</v>
      </c>
      <c r="I548" s="739" t="e">
        <f>E548*F548</f>
        <v>#REF!</v>
      </c>
      <c r="J548" s="739" t="e">
        <f>E548*G548</f>
        <v>#REF!</v>
      </c>
      <c r="K548" s="740" t="e">
        <f t="shared" si="378"/>
        <v>#REF!</v>
      </c>
      <c r="L548" s="735" t="e">
        <f t="shared" si="373"/>
        <v>#REF!</v>
      </c>
      <c r="N548" s="741" t="e">
        <f t="shared" si="370"/>
        <v>#REF!</v>
      </c>
      <c r="O548" s="741" t="e">
        <f t="shared" si="367"/>
        <v>#REF!</v>
      </c>
    </row>
    <row r="549" spans="1:17" s="298" customFormat="1" ht="17.100000000000001" hidden="1" customHeight="1">
      <c r="A549" s="736" t="e">
        <f t="shared" si="365"/>
        <v>#REF!</v>
      </c>
      <c r="B549" s="296" t="s">
        <v>1780</v>
      </c>
      <c r="C549" s="296" t="s">
        <v>1781</v>
      </c>
      <c r="D549" s="297" t="s">
        <v>637</v>
      </c>
      <c r="E549" s="788"/>
      <c r="F549" s="738" t="e">
        <f>#REF!</f>
        <v>#REF!</v>
      </c>
      <c r="G549" s="738" t="e">
        <f>#REF!</f>
        <v>#REF!</v>
      </c>
      <c r="H549" s="738" t="e">
        <f>#REF!</f>
        <v>#REF!</v>
      </c>
      <c r="I549" s="739" t="e">
        <f>E549*F549</f>
        <v>#REF!</v>
      </c>
      <c r="J549" s="739" t="e">
        <f>E549*G549</f>
        <v>#REF!</v>
      </c>
      <c r="K549" s="740" t="e">
        <f t="shared" si="378"/>
        <v>#REF!</v>
      </c>
      <c r="L549" s="735" t="e">
        <f t="shared" si="373"/>
        <v>#REF!</v>
      </c>
      <c r="N549" s="741" t="e">
        <f t="shared" si="370"/>
        <v>#REF!</v>
      </c>
      <c r="O549" s="741" t="e">
        <f t="shared" si="367"/>
        <v>#REF!</v>
      </c>
    </row>
    <row r="550" spans="1:17" s="298" customFormat="1" ht="17.100000000000001" hidden="1" customHeight="1">
      <c r="A550" s="736" t="e">
        <f t="shared" si="365"/>
        <v>#REF!</v>
      </c>
      <c r="B550" s="744"/>
      <c r="C550" s="744" t="s">
        <v>0</v>
      </c>
      <c r="D550" s="745" t="s">
        <v>0</v>
      </c>
      <c r="E550" s="820"/>
      <c r="F550" s="746"/>
      <c r="G550" s="746"/>
      <c r="H550" s="746"/>
      <c r="I550" s="747"/>
      <c r="J550" s="747"/>
      <c r="K550" s="748"/>
      <c r="L550" s="735">
        <f t="shared" si="373"/>
        <v>0</v>
      </c>
      <c r="N550" s="741">
        <f t="shared" si="370"/>
        <v>0</v>
      </c>
      <c r="O550" s="741">
        <f t="shared" si="367"/>
        <v>0</v>
      </c>
    </row>
    <row r="551" spans="1:17" s="298" customFormat="1" ht="17.100000000000001" hidden="1" customHeight="1">
      <c r="A551" s="736" t="e">
        <f t="shared" si="365"/>
        <v>#REF!</v>
      </c>
      <c r="B551" s="730" t="s">
        <v>0</v>
      </c>
      <c r="C551" s="730" t="s">
        <v>1812</v>
      </c>
      <c r="D551" s="731"/>
      <c r="E551" s="819"/>
      <c r="F551" s="732"/>
      <c r="G551" s="732"/>
      <c r="H551" s="732"/>
      <c r="I551" s="733" t="e">
        <f>SUM(I552:I557)</f>
        <v>#REF!</v>
      </c>
      <c r="J551" s="733" t="e">
        <f>SUM(J552:J557)</f>
        <v>#REF!</v>
      </c>
      <c r="K551" s="734" t="e">
        <f>SUM(K552:K557)</f>
        <v>#REF!</v>
      </c>
      <c r="L551" s="735" t="e">
        <f t="shared" si="373"/>
        <v>#REF!</v>
      </c>
      <c r="N551" s="741">
        <f t="shared" si="370"/>
        <v>0</v>
      </c>
      <c r="O551" s="734" t="e">
        <f>SUM(O552:O557)</f>
        <v>#REF!</v>
      </c>
    </row>
    <row r="552" spans="1:17" s="298" customFormat="1" ht="17.100000000000001" hidden="1" customHeight="1">
      <c r="A552" s="736" t="e">
        <f t="shared" si="365"/>
        <v>#REF!</v>
      </c>
      <c r="B552" s="296" t="s">
        <v>773</v>
      </c>
      <c r="C552" s="296" t="s">
        <v>774</v>
      </c>
      <c r="D552" s="297" t="s">
        <v>388</v>
      </c>
      <c r="E552" s="846"/>
      <c r="F552" s="738"/>
      <c r="G552" s="738" t="e">
        <f>#REF!</f>
        <v>#REF!</v>
      </c>
      <c r="H552" s="738"/>
      <c r="I552" s="739">
        <f>E552*F552</f>
        <v>0</v>
      </c>
      <c r="J552" s="739" t="e">
        <f>E552*G552</f>
        <v>#REF!</v>
      </c>
      <c r="K552" s="740">
        <f>E552*H552</f>
        <v>0</v>
      </c>
      <c r="L552" s="735" t="e">
        <f t="shared" si="373"/>
        <v>#REF!</v>
      </c>
      <c r="N552" s="741" t="e">
        <f t="shared" si="370"/>
        <v>#REF!</v>
      </c>
      <c r="O552" s="741" t="e">
        <f t="shared" si="367"/>
        <v>#REF!</v>
      </c>
      <c r="Q552" s="846">
        <v>120</v>
      </c>
    </row>
    <row r="553" spans="1:17" s="298" customFormat="1" ht="17.100000000000001" hidden="1" customHeight="1">
      <c r="A553" s="736" t="e">
        <f t="shared" si="365"/>
        <v>#REF!</v>
      </c>
      <c r="B553" s="296" t="s">
        <v>635</v>
      </c>
      <c r="C553" s="296" t="s">
        <v>636</v>
      </c>
      <c r="D553" s="297" t="s">
        <v>637</v>
      </c>
      <c r="E553" s="846"/>
      <c r="F553" s="738" t="e">
        <f>#REF!</f>
        <v>#REF!</v>
      </c>
      <c r="G553" s="738" t="e">
        <f>#REF!</f>
        <v>#REF!</v>
      </c>
      <c r="H553" s="738" t="e">
        <f>#REF!</f>
        <v>#REF!</v>
      </c>
      <c r="I553" s="739" t="e">
        <f t="shared" ref="I553:I556" si="379">E553*F553</f>
        <v>#REF!</v>
      </c>
      <c r="J553" s="739" t="e">
        <f t="shared" ref="J553:J556" si="380">E553*G553</f>
        <v>#REF!</v>
      </c>
      <c r="K553" s="740" t="e">
        <f>E553*H553</f>
        <v>#REF!</v>
      </c>
      <c r="L553" s="735" t="e">
        <f t="shared" si="373"/>
        <v>#REF!</v>
      </c>
      <c r="N553" s="741" t="e">
        <f t="shared" si="370"/>
        <v>#REF!</v>
      </c>
      <c r="O553" s="741" t="e">
        <f t="shared" si="367"/>
        <v>#REF!</v>
      </c>
      <c r="Q553" s="846">
        <v>2</v>
      </c>
    </row>
    <row r="554" spans="1:17" s="298" customFormat="1" ht="17.100000000000001" hidden="1" customHeight="1">
      <c r="A554" s="736" t="e">
        <f t="shared" si="365"/>
        <v>#REF!</v>
      </c>
      <c r="B554" s="296" t="s">
        <v>115</v>
      </c>
      <c r="C554" s="296" t="s">
        <v>638</v>
      </c>
      <c r="D554" s="297" t="s">
        <v>637</v>
      </c>
      <c r="E554" s="846"/>
      <c r="F554" s="738" t="e">
        <f>#REF!</f>
        <v>#REF!</v>
      </c>
      <c r="G554" s="738" t="e">
        <f>#REF!</f>
        <v>#REF!</v>
      </c>
      <c r="H554" s="738" t="e">
        <f>#REF!</f>
        <v>#REF!</v>
      </c>
      <c r="I554" s="739" t="e">
        <f t="shared" si="379"/>
        <v>#REF!</v>
      </c>
      <c r="J554" s="739" t="e">
        <f t="shared" si="380"/>
        <v>#REF!</v>
      </c>
      <c r="K554" s="740" t="e">
        <f>E554*H554</f>
        <v>#REF!</v>
      </c>
      <c r="L554" s="735" t="e">
        <f t="shared" si="373"/>
        <v>#REF!</v>
      </c>
      <c r="N554" s="741" t="e">
        <f t="shared" si="370"/>
        <v>#REF!</v>
      </c>
      <c r="O554" s="741" t="e">
        <f t="shared" si="367"/>
        <v>#REF!</v>
      </c>
      <c r="Q554" s="846">
        <v>2</v>
      </c>
    </row>
    <row r="555" spans="1:17" s="298" customFormat="1" ht="17.100000000000001" hidden="1" customHeight="1">
      <c r="A555" s="736" t="e">
        <f t="shared" si="365"/>
        <v>#REF!</v>
      </c>
      <c r="B555" s="296" t="s">
        <v>775</v>
      </c>
      <c r="C555" s="296" t="s">
        <v>776</v>
      </c>
      <c r="D555" s="297" t="s">
        <v>1769</v>
      </c>
      <c r="E555" s="846"/>
      <c r="F555" s="738" t="e">
        <f>#REF!</f>
        <v>#REF!</v>
      </c>
      <c r="G555" s="738"/>
      <c r="H555" s="738"/>
      <c r="I555" s="739" t="e">
        <f t="shared" si="379"/>
        <v>#REF!</v>
      </c>
      <c r="J555" s="739">
        <f t="shared" si="380"/>
        <v>0</v>
      </c>
      <c r="K555" s="740">
        <f>E555*H555</f>
        <v>0</v>
      </c>
      <c r="L555" s="735" t="e">
        <f t="shared" si="373"/>
        <v>#REF!</v>
      </c>
      <c r="N555" s="741" t="e">
        <f t="shared" si="370"/>
        <v>#REF!</v>
      </c>
      <c r="O555" s="741" t="e">
        <f t="shared" si="367"/>
        <v>#REF!</v>
      </c>
      <c r="Q555" s="846">
        <v>90</v>
      </c>
    </row>
    <row r="556" spans="1:17" s="298" customFormat="1" ht="17.100000000000001" hidden="1" customHeight="1">
      <c r="A556" s="736" t="e">
        <f t="shared" si="365"/>
        <v>#REF!</v>
      </c>
      <c r="B556" s="296" t="s">
        <v>777</v>
      </c>
      <c r="C556" s="296" t="s">
        <v>778</v>
      </c>
      <c r="D556" s="297" t="s">
        <v>779</v>
      </c>
      <c r="E556" s="846"/>
      <c r="F556" s="738" t="e">
        <f>#REF!</f>
        <v>#REF!</v>
      </c>
      <c r="G556" s="738"/>
      <c r="H556" s="738"/>
      <c r="I556" s="739" t="e">
        <f t="shared" si="379"/>
        <v>#REF!</v>
      </c>
      <c r="J556" s="739">
        <f t="shared" si="380"/>
        <v>0</v>
      </c>
      <c r="K556" s="740">
        <f>E556*H556</f>
        <v>0</v>
      </c>
      <c r="L556" s="735" t="e">
        <f t="shared" si="373"/>
        <v>#REF!</v>
      </c>
      <c r="N556" s="741" t="e">
        <f t="shared" si="370"/>
        <v>#REF!</v>
      </c>
      <c r="O556" s="741" t="e">
        <f t="shared" si="367"/>
        <v>#REF!</v>
      </c>
      <c r="Q556" s="846">
        <v>10</v>
      </c>
    </row>
    <row r="557" spans="1:17" s="298" customFormat="1" ht="17.100000000000001" hidden="1" customHeight="1">
      <c r="A557" s="736" t="e">
        <f t="shared" si="365"/>
        <v>#REF!</v>
      </c>
      <c r="B557" s="744"/>
      <c r="C557" s="1048"/>
      <c r="D557" s="745" t="s">
        <v>0</v>
      </c>
      <c r="E557" s="820"/>
      <c r="F557" s="746"/>
      <c r="G557" s="746"/>
      <c r="H557" s="746"/>
      <c r="I557" s="747"/>
      <c r="J557" s="747"/>
      <c r="K557" s="748"/>
      <c r="L557" s="735">
        <f t="shared" si="373"/>
        <v>0</v>
      </c>
      <c r="N557" s="741">
        <f t="shared" si="370"/>
        <v>0</v>
      </c>
      <c r="O557" s="741">
        <f t="shared" si="367"/>
        <v>0</v>
      </c>
    </row>
    <row r="558" spans="1:17" s="298" customFormat="1" ht="17.100000000000001" hidden="1" customHeight="1">
      <c r="A558" s="736" t="e">
        <f t="shared" si="365"/>
        <v>#REF!</v>
      </c>
      <c r="B558" s="296"/>
      <c r="C558" s="730" t="s">
        <v>1759</v>
      </c>
      <c r="D558" s="297"/>
      <c r="E558" s="842"/>
      <c r="F558" s="738"/>
      <c r="G558" s="738"/>
      <c r="H558" s="738"/>
      <c r="I558" s="733" t="e">
        <f>SUM(I559:I572)</f>
        <v>#REF!</v>
      </c>
      <c r="J558" s="733" t="e">
        <f>SUM(J559:J572)</f>
        <v>#REF!</v>
      </c>
      <c r="K558" s="734" t="e">
        <f>SUM(K559:K572)</f>
        <v>#REF!</v>
      </c>
      <c r="L558" s="735" t="e">
        <f t="shared" si="373"/>
        <v>#REF!</v>
      </c>
      <c r="N558" s="741"/>
      <c r="O558" s="741"/>
    </row>
    <row r="559" spans="1:17" s="298" customFormat="1" ht="17.100000000000001" hidden="1" customHeight="1">
      <c r="A559" s="736" t="e">
        <f t="shared" si="365"/>
        <v>#REF!</v>
      </c>
      <c r="B559" s="296" t="s">
        <v>1458</v>
      </c>
      <c r="C559" s="296" t="s">
        <v>1675</v>
      </c>
      <c r="D559" s="297" t="s">
        <v>59</v>
      </c>
      <c r="E559" s="842"/>
      <c r="F559" s="738" t="e">
        <f>#REF!</f>
        <v>#REF!</v>
      </c>
      <c r="G559" s="738" t="e">
        <f>#REF!</f>
        <v>#REF!</v>
      </c>
      <c r="H559" s="738" t="e">
        <f>#REF!</f>
        <v>#REF!</v>
      </c>
      <c r="I559" s="739" t="e">
        <f>E559*F559</f>
        <v>#REF!</v>
      </c>
      <c r="J559" s="739" t="e">
        <f>E559*G559</f>
        <v>#REF!</v>
      </c>
      <c r="K559" s="740" t="e">
        <f t="shared" ref="K559:K572" si="381">E559*H559</f>
        <v>#REF!</v>
      </c>
      <c r="L559" s="735" t="e">
        <f t="shared" si="373"/>
        <v>#REF!</v>
      </c>
      <c r="N559" s="741" t="e">
        <f>SUM(F559:H559)*1.278</f>
        <v>#REF!</v>
      </c>
      <c r="O559" s="741" t="e">
        <f>N559*E559</f>
        <v>#REF!</v>
      </c>
    </row>
    <row r="560" spans="1:17" s="298" customFormat="1" ht="17.100000000000001" hidden="1" customHeight="1">
      <c r="A560" s="736" t="e">
        <f t="shared" si="365"/>
        <v>#REF!</v>
      </c>
      <c r="B560" s="296" t="s">
        <v>1673</v>
      </c>
      <c r="C560" s="758" t="s">
        <v>1697</v>
      </c>
      <c r="D560" s="297" t="s">
        <v>59</v>
      </c>
      <c r="E560" s="842"/>
      <c r="F560" s="738" t="e">
        <f>#REF!</f>
        <v>#REF!</v>
      </c>
      <c r="G560" s="738" t="e">
        <f>#REF!</f>
        <v>#REF!</v>
      </c>
      <c r="H560" s="738" t="e">
        <f>#REF!</f>
        <v>#REF!</v>
      </c>
      <c r="I560" s="739" t="e">
        <f t="shared" ref="I560:I563" si="382">E560*F560</f>
        <v>#REF!</v>
      </c>
      <c r="J560" s="739" t="e">
        <f t="shared" ref="J560:J563" si="383">E560*G560</f>
        <v>#REF!</v>
      </c>
      <c r="K560" s="740" t="e">
        <f t="shared" si="381"/>
        <v>#REF!</v>
      </c>
      <c r="L560" s="735" t="e">
        <f t="shared" si="373"/>
        <v>#REF!</v>
      </c>
      <c r="N560" s="741" t="e">
        <f t="shared" ref="N560:N572" si="384">SUM(F560:H560)*1.278</f>
        <v>#REF!</v>
      </c>
      <c r="O560" s="741" t="e">
        <f t="shared" ref="O560:O572" si="385">N560*E560</f>
        <v>#REF!</v>
      </c>
    </row>
    <row r="561" spans="1:15" s="298" customFormat="1" ht="28.5" hidden="1">
      <c r="A561" s="736" t="e">
        <f t="shared" si="365"/>
        <v>#REF!</v>
      </c>
      <c r="B561" s="296" t="s">
        <v>1760</v>
      </c>
      <c r="C561" s="743" t="s">
        <v>1761</v>
      </c>
      <c r="D561" s="297" t="s">
        <v>59</v>
      </c>
      <c r="E561" s="842"/>
      <c r="F561" s="738" t="e">
        <f>#REF!</f>
        <v>#REF!</v>
      </c>
      <c r="G561" s="738" t="e">
        <f>#REF!</f>
        <v>#REF!</v>
      </c>
      <c r="H561" s="738" t="e">
        <f>#REF!</f>
        <v>#REF!</v>
      </c>
      <c r="I561" s="739" t="e">
        <f t="shared" si="382"/>
        <v>#REF!</v>
      </c>
      <c r="J561" s="739" t="e">
        <f t="shared" si="383"/>
        <v>#REF!</v>
      </c>
      <c r="K561" s="740" t="e">
        <f t="shared" si="381"/>
        <v>#REF!</v>
      </c>
      <c r="L561" s="735" t="e">
        <f t="shared" si="373"/>
        <v>#REF!</v>
      </c>
      <c r="N561" s="741" t="e">
        <f t="shared" si="384"/>
        <v>#REF!</v>
      </c>
      <c r="O561" s="741" t="e">
        <f t="shared" si="385"/>
        <v>#REF!</v>
      </c>
    </row>
    <row r="562" spans="1:15" s="298" customFormat="1" ht="17.100000000000001" hidden="1" customHeight="1">
      <c r="A562" s="736" t="e">
        <f t="shared" si="365"/>
        <v>#REF!</v>
      </c>
      <c r="B562" s="296" t="s">
        <v>1436</v>
      </c>
      <c r="C562" s="296" t="s">
        <v>1460</v>
      </c>
      <c r="D562" s="297" t="s">
        <v>59</v>
      </c>
      <c r="E562" s="842"/>
      <c r="F562" s="738" t="e">
        <f>#REF!</f>
        <v>#REF!</v>
      </c>
      <c r="G562" s="738" t="e">
        <f>#REF!</f>
        <v>#REF!</v>
      </c>
      <c r="H562" s="738" t="e">
        <f>#REF!</f>
        <v>#REF!</v>
      </c>
      <c r="I562" s="739" t="e">
        <f t="shared" si="382"/>
        <v>#REF!</v>
      </c>
      <c r="J562" s="739" t="e">
        <f t="shared" si="383"/>
        <v>#REF!</v>
      </c>
      <c r="K562" s="740" t="e">
        <f t="shared" si="381"/>
        <v>#REF!</v>
      </c>
      <c r="L562" s="735" t="e">
        <f t="shared" si="373"/>
        <v>#REF!</v>
      </c>
      <c r="N562" s="741" t="e">
        <f t="shared" si="384"/>
        <v>#REF!</v>
      </c>
      <c r="O562" s="741" t="e">
        <f t="shared" si="385"/>
        <v>#REF!</v>
      </c>
    </row>
    <row r="563" spans="1:15" s="298" customFormat="1" ht="17.100000000000001" hidden="1" customHeight="1">
      <c r="A563" s="736" t="e">
        <f t="shared" si="365"/>
        <v>#REF!</v>
      </c>
      <c r="B563" s="296" t="s">
        <v>809</v>
      </c>
      <c r="C563" s="296" t="s">
        <v>853</v>
      </c>
      <c r="D563" s="297" t="s">
        <v>551</v>
      </c>
      <c r="E563" s="842"/>
      <c r="F563" s="738" t="e">
        <f>#REF!</f>
        <v>#REF!</v>
      </c>
      <c r="G563" s="738" t="e">
        <f>#REF!</f>
        <v>#REF!</v>
      </c>
      <c r="H563" s="738"/>
      <c r="I563" s="739" t="e">
        <f t="shared" si="382"/>
        <v>#REF!</v>
      </c>
      <c r="J563" s="739" t="e">
        <f t="shared" si="383"/>
        <v>#REF!</v>
      </c>
      <c r="K563" s="740">
        <f t="shared" si="381"/>
        <v>0</v>
      </c>
      <c r="L563" s="735" t="e">
        <f t="shared" si="373"/>
        <v>#REF!</v>
      </c>
      <c r="N563" s="741" t="e">
        <f t="shared" si="384"/>
        <v>#REF!</v>
      </c>
      <c r="O563" s="741" t="e">
        <f t="shared" si="385"/>
        <v>#REF!</v>
      </c>
    </row>
    <row r="564" spans="1:15" s="298" customFormat="1" ht="17.100000000000001" hidden="1" customHeight="1">
      <c r="A564" s="736" t="e">
        <f t="shared" si="365"/>
        <v>#REF!</v>
      </c>
      <c r="B564" s="296" t="s">
        <v>1690</v>
      </c>
      <c r="C564" s="296" t="s">
        <v>1489</v>
      </c>
      <c r="D564" s="297" t="s">
        <v>2</v>
      </c>
      <c r="E564" s="833"/>
      <c r="F564" s="738" t="e">
        <f>#REF!</f>
        <v>#REF!</v>
      </c>
      <c r="G564" s="738" t="e">
        <f>#REF!</f>
        <v>#REF!</v>
      </c>
      <c r="H564" s="738"/>
      <c r="I564" s="739" t="e">
        <f>E564*F564</f>
        <v>#REF!</v>
      </c>
      <c r="J564" s="739" t="e">
        <f>E564*G564</f>
        <v>#REF!</v>
      </c>
      <c r="K564" s="740">
        <f t="shared" si="381"/>
        <v>0</v>
      </c>
      <c r="L564" s="735" t="e">
        <f t="shared" si="373"/>
        <v>#REF!</v>
      </c>
      <c r="N564" s="741" t="e">
        <f t="shared" si="384"/>
        <v>#REF!</v>
      </c>
      <c r="O564" s="741" t="e">
        <f t="shared" si="385"/>
        <v>#REF!</v>
      </c>
    </row>
    <row r="565" spans="1:15" s="298" customFormat="1" ht="17.100000000000001" hidden="1" customHeight="1">
      <c r="A565" s="736" t="e">
        <f t="shared" si="365"/>
        <v>#REF!</v>
      </c>
      <c r="B565" s="824" t="s">
        <v>1688</v>
      </c>
      <c r="C565" s="296" t="s">
        <v>1689</v>
      </c>
      <c r="D565" s="297" t="s">
        <v>2</v>
      </c>
      <c r="E565" s="833"/>
      <c r="F565" s="738"/>
      <c r="G565" s="738" t="e">
        <f>#REF!</f>
        <v>#REF!</v>
      </c>
      <c r="H565" s="738"/>
      <c r="I565" s="739">
        <f>E565*F565</f>
        <v>0</v>
      </c>
      <c r="J565" s="739" t="e">
        <f>E565*G565</f>
        <v>#REF!</v>
      </c>
      <c r="K565" s="740">
        <f t="shared" si="381"/>
        <v>0</v>
      </c>
      <c r="L565" s="735" t="e">
        <f t="shared" si="373"/>
        <v>#REF!</v>
      </c>
      <c r="N565" s="741" t="e">
        <f t="shared" si="384"/>
        <v>#REF!</v>
      </c>
      <c r="O565" s="741" t="e">
        <f t="shared" si="385"/>
        <v>#REF!</v>
      </c>
    </row>
    <row r="566" spans="1:15" s="298" customFormat="1" ht="17.100000000000001" hidden="1" customHeight="1">
      <c r="A566" s="736" t="e">
        <f t="shared" si="365"/>
        <v>#REF!</v>
      </c>
      <c r="B566" s="296" t="s">
        <v>22</v>
      </c>
      <c r="C566" s="296" t="s">
        <v>1744</v>
      </c>
      <c r="D566" s="297" t="s">
        <v>2</v>
      </c>
      <c r="E566" s="842"/>
      <c r="F566" s="738" t="e">
        <f>#REF!</f>
        <v>#REF!</v>
      </c>
      <c r="G566" s="738" t="e">
        <f>#REF!</f>
        <v>#REF!</v>
      </c>
      <c r="H566" s="738" t="e">
        <f>#REF!</f>
        <v>#REF!</v>
      </c>
      <c r="I566" s="739" t="e">
        <f t="shared" ref="I566:I571" si="386">E566*F566</f>
        <v>#REF!</v>
      </c>
      <c r="J566" s="739" t="e">
        <f t="shared" ref="J566:J571" si="387">E566*G566</f>
        <v>#REF!</v>
      </c>
      <c r="K566" s="740" t="e">
        <f t="shared" si="381"/>
        <v>#REF!</v>
      </c>
      <c r="L566" s="735" t="e">
        <f t="shared" si="373"/>
        <v>#REF!</v>
      </c>
      <c r="N566" s="741" t="e">
        <f t="shared" si="384"/>
        <v>#REF!</v>
      </c>
      <c r="O566" s="741" t="e">
        <f t="shared" si="385"/>
        <v>#REF!</v>
      </c>
    </row>
    <row r="567" spans="1:15" s="298" customFormat="1" ht="17.100000000000001" hidden="1" customHeight="1">
      <c r="A567" s="736" t="e">
        <f t="shared" si="365"/>
        <v>#REF!</v>
      </c>
      <c r="B567" s="783" t="s">
        <v>1661</v>
      </c>
      <c r="C567" s="783" t="s">
        <v>1662</v>
      </c>
      <c r="D567" s="784" t="s">
        <v>9</v>
      </c>
      <c r="E567" s="842"/>
      <c r="F567" s="785" t="e">
        <f>#REF!</f>
        <v>#REF!</v>
      </c>
      <c r="G567" s="785" t="e">
        <f>#REF!</f>
        <v>#REF!</v>
      </c>
      <c r="H567" s="785" t="e">
        <f>#REF!</f>
        <v>#REF!</v>
      </c>
      <c r="I567" s="739" t="e">
        <f t="shared" si="386"/>
        <v>#REF!</v>
      </c>
      <c r="J567" s="739" t="e">
        <f t="shared" si="387"/>
        <v>#REF!</v>
      </c>
      <c r="K567" s="740" t="e">
        <f t="shared" si="381"/>
        <v>#REF!</v>
      </c>
      <c r="L567" s="735" t="e">
        <f t="shared" si="373"/>
        <v>#REF!</v>
      </c>
      <c r="N567" s="741" t="e">
        <f t="shared" si="384"/>
        <v>#REF!</v>
      </c>
      <c r="O567" s="741" t="e">
        <f t="shared" si="385"/>
        <v>#REF!</v>
      </c>
    </row>
    <row r="568" spans="1:15" s="298" customFormat="1" ht="17.100000000000001" hidden="1" customHeight="1">
      <c r="A568" s="736" t="e">
        <f t="shared" si="365"/>
        <v>#REF!</v>
      </c>
      <c r="B568" s="296" t="s">
        <v>773</v>
      </c>
      <c r="C568" s="296" t="s">
        <v>1762</v>
      </c>
      <c r="D568" s="297" t="s">
        <v>388</v>
      </c>
      <c r="E568" s="842"/>
      <c r="F568" s="738"/>
      <c r="G568" s="738" t="e">
        <f>#REF!</f>
        <v>#REF!</v>
      </c>
      <c r="H568" s="738"/>
      <c r="I568" s="739">
        <f t="shared" si="386"/>
        <v>0</v>
      </c>
      <c r="J568" s="739" t="e">
        <f t="shared" si="387"/>
        <v>#REF!</v>
      </c>
      <c r="K568" s="740">
        <f t="shared" si="381"/>
        <v>0</v>
      </c>
      <c r="L568" s="735" t="e">
        <f t="shared" si="373"/>
        <v>#REF!</v>
      </c>
      <c r="N568" s="741" t="e">
        <f t="shared" si="384"/>
        <v>#REF!</v>
      </c>
      <c r="O568" s="741" t="e">
        <f t="shared" si="385"/>
        <v>#REF!</v>
      </c>
    </row>
    <row r="569" spans="1:15" s="298" customFormat="1" ht="17.100000000000001" hidden="1" customHeight="1">
      <c r="A569" s="736" t="e">
        <f t="shared" si="365"/>
        <v>#REF!</v>
      </c>
      <c r="B569" s="296" t="s">
        <v>119</v>
      </c>
      <c r="C569" s="296" t="s">
        <v>631</v>
      </c>
      <c r="D569" s="297" t="s">
        <v>2</v>
      </c>
      <c r="E569" s="842"/>
      <c r="F569" s="738"/>
      <c r="G569" s="738" t="e">
        <f>#REF!</f>
        <v>#REF!</v>
      </c>
      <c r="H569" s="738"/>
      <c r="I569" s="739">
        <f t="shared" si="386"/>
        <v>0</v>
      </c>
      <c r="J569" s="739" t="e">
        <f t="shared" si="387"/>
        <v>#REF!</v>
      </c>
      <c r="K569" s="740">
        <f t="shared" si="381"/>
        <v>0</v>
      </c>
      <c r="L569" s="735" t="e">
        <f t="shared" si="373"/>
        <v>#REF!</v>
      </c>
      <c r="N569" s="741" t="e">
        <f t="shared" si="384"/>
        <v>#REF!</v>
      </c>
      <c r="O569" s="741" t="e">
        <f t="shared" si="385"/>
        <v>#REF!</v>
      </c>
    </row>
    <row r="570" spans="1:15" s="298" customFormat="1" ht="17.100000000000001" hidden="1" customHeight="1">
      <c r="A570" s="736" t="e">
        <f t="shared" si="365"/>
        <v>#REF!</v>
      </c>
      <c r="B570" s="296" t="s">
        <v>1395</v>
      </c>
      <c r="C570" s="296" t="s">
        <v>634</v>
      </c>
      <c r="D570" s="297" t="s">
        <v>2</v>
      </c>
      <c r="E570" s="842"/>
      <c r="F570" s="738" t="e">
        <f>#REF!</f>
        <v>#REF!</v>
      </c>
      <c r="G570" s="738" t="e">
        <f>#REF!</f>
        <v>#REF!</v>
      </c>
      <c r="H570" s="738" t="e">
        <f>#REF!</f>
        <v>#REF!</v>
      </c>
      <c r="I570" s="739" t="e">
        <f t="shared" si="386"/>
        <v>#REF!</v>
      </c>
      <c r="J570" s="739" t="e">
        <f t="shared" si="387"/>
        <v>#REF!</v>
      </c>
      <c r="K570" s="740" t="e">
        <f t="shared" si="381"/>
        <v>#REF!</v>
      </c>
      <c r="L570" s="735" t="e">
        <f t="shared" si="373"/>
        <v>#REF!</v>
      </c>
      <c r="N570" s="741" t="e">
        <f t="shared" si="384"/>
        <v>#REF!</v>
      </c>
      <c r="O570" s="741" t="e">
        <f t="shared" si="385"/>
        <v>#REF!</v>
      </c>
    </row>
    <row r="571" spans="1:15" s="298" customFormat="1" ht="17.100000000000001" hidden="1" customHeight="1">
      <c r="A571" s="736" t="e">
        <f t="shared" si="365"/>
        <v>#REF!</v>
      </c>
      <c r="B571" s="296" t="s">
        <v>635</v>
      </c>
      <c r="C571" s="296" t="s">
        <v>636</v>
      </c>
      <c r="D571" s="297" t="s">
        <v>637</v>
      </c>
      <c r="E571" s="842"/>
      <c r="F571" s="738" t="e">
        <f>#REF!</f>
        <v>#REF!</v>
      </c>
      <c r="G571" s="738" t="e">
        <f>#REF!</f>
        <v>#REF!</v>
      </c>
      <c r="H571" s="738" t="e">
        <f>#REF!</f>
        <v>#REF!</v>
      </c>
      <c r="I571" s="739" t="e">
        <f t="shared" si="386"/>
        <v>#REF!</v>
      </c>
      <c r="J571" s="739" t="e">
        <f t="shared" si="387"/>
        <v>#REF!</v>
      </c>
      <c r="K571" s="740" t="e">
        <f t="shared" si="381"/>
        <v>#REF!</v>
      </c>
      <c r="L571" s="735" t="e">
        <f t="shared" si="373"/>
        <v>#REF!</v>
      </c>
      <c r="N571" s="741" t="e">
        <f t="shared" si="384"/>
        <v>#REF!</v>
      </c>
      <c r="O571" s="741" t="e">
        <f t="shared" si="385"/>
        <v>#REF!</v>
      </c>
    </row>
    <row r="572" spans="1:15" s="298" customFormat="1" ht="17.100000000000001" hidden="1" customHeight="1">
      <c r="A572" s="736" t="e">
        <f t="shared" si="365"/>
        <v>#REF!</v>
      </c>
      <c r="B572" s="744" t="s">
        <v>115</v>
      </c>
      <c r="C572" s="744" t="s">
        <v>638</v>
      </c>
      <c r="D572" s="745" t="s">
        <v>637</v>
      </c>
      <c r="E572" s="843"/>
      <c r="F572" s="746" t="e">
        <f>#REF!</f>
        <v>#REF!</v>
      </c>
      <c r="G572" s="746" t="e">
        <f>#REF!</f>
        <v>#REF!</v>
      </c>
      <c r="H572" s="746" t="e">
        <f>#REF!</f>
        <v>#REF!</v>
      </c>
      <c r="I572" s="747" t="e">
        <f>E572*F572</f>
        <v>#REF!</v>
      </c>
      <c r="J572" s="747" t="e">
        <f>E572*G572</f>
        <v>#REF!</v>
      </c>
      <c r="K572" s="748" t="e">
        <f t="shared" si="381"/>
        <v>#REF!</v>
      </c>
      <c r="L572" s="735" t="e">
        <f t="shared" si="373"/>
        <v>#REF!</v>
      </c>
      <c r="N572" s="741" t="e">
        <f t="shared" si="384"/>
        <v>#REF!</v>
      </c>
      <c r="O572" s="741" t="e">
        <f t="shared" si="385"/>
        <v>#REF!</v>
      </c>
    </row>
    <row r="573" spans="1:15" s="298" customFormat="1" ht="17.100000000000001" hidden="1" customHeight="1">
      <c r="A573" s="736" t="e">
        <f t="shared" si="365"/>
        <v>#REF!</v>
      </c>
      <c r="B573" s="730" t="s">
        <v>0</v>
      </c>
      <c r="C573" s="730" t="s">
        <v>1566</v>
      </c>
      <c r="D573" s="731" t="s">
        <v>0</v>
      </c>
      <c r="E573" s="819"/>
      <c r="F573" s="732"/>
      <c r="G573" s="732"/>
      <c r="H573" s="732"/>
      <c r="I573" s="733" t="e">
        <f>SUM(I574:I648)</f>
        <v>#REF!</v>
      </c>
      <c r="J573" s="733" t="e">
        <f>SUM(J574:J648)</f>
        <v>#REF!</v>
      </c>
      <c r="K573" s="734" t="e">
        <f>SUM(K574:K648)</f>
        <v>#REF!</v>
      </c>
      <c r="L573" s="735" t="e">
        <f t="shared" si="373"/>
        <v>#REF!</v>
      </c>
      <c r="N573" s="741">
        <f t="shared" si="370"/>
        <v>0</v>
      </c>
      <c r="O573" s="734" t="e">
        <f>SUM(O574:O648)</f>
        <v>#REF!</v>
      </c>
    </row>
    <row r="574" spans="1:15" s="298" customFormat="1" ht="17.100000000000001" hidden="1" customHeight="1">
      <c r="A574" s="736" t="e">
        <f t="shared" si="365"/>
        <v>#REF!</v>
      </c>
      <c r="B574" s="296" t="s">
        <v>0</v>
      </c>
      <c r="C574" s="737" t="s">
        <v>659</v>
      </c>
      <c r="D574" s="297" t="s">
        <v>0</v>
      </c>
      <c r="E574" s="788"/>
      <c r="F574" s="738"/>
      <c r="G574" s="738"/>
      <c r="H574" s="738"/>
      <c r="I574" s="739"/>
      <c r="J574" s="739"/>
      <c r="K574" s="740"/>
      <c r="L574" s="735">
        <f t="shared" si="373"/>
        <v>0</v>
      </c>
      <c r="N574" s="741">
        <f t="shared" si="370"/>
        <v>0</v>
      </c>
      <c r="O574" s="741">
        <f t="shared" si="367"/>
        <v>0</v>
      </c>
    </row>
    <row r="575" spans="1:15" s="298" customFormat="1" ht="17.100000000000001" hidden="1" customHeight="1">
      <c r="A575" s="736" t="e">
        <f t="shared" si="365"/>
        <v>#REF!</v>
      </c>
      <c r="B575" s="296" t="s">
        <v>1567</v>
      </c>
      <c r="C575" s="296" t="s">
        <v>661</v>
      </c>
      <c r="D575" s="297" t="s">
        <v>2</v>
      </c>
      <c r="E575" s="788"/>
      <c r="F575" s="738" t="e">
        <f>#REF!</f>
        <v>#REF!</v>
      </c>
      <c r="G575" s="738" t="e">
        <f>#REF!</f>
        <v>#REF!</v>
      </c>
      <c r="H575" s="738" t="e">
        <f>#REF!</f>
        <v>#REF!</v>
      </c>
      <c r="I575" s="739" t="e">
        <f t="shared" ref="I575:I602" si="388">E575*F575</f>
        <v>#REF!</v>
      </c>
      <c r="J575" s="739" t="e">
        <f t="shared" ref="J575:J602" si="389">E575*G575</f>
        <v>#REF!</v>
      </c>
      <c r="K575" s="740" t="e">
        <f t="shared" ref="K575:K602" si="390">E575*H575</f>
        <v>#REF!</v>
      </c>
      <c r="L575" s="735" t="e">
        <f t="shared" si="373"/>
        <v>#REF!</v>
      </c>
      <c r="N575" s="741" t="e">
        <f t="shared" si="370"/>
        <v>#REF!</v>
      </c>
      <c r="O575" s="741" t="e">
        <f t="shared" si="367"/>
        <v>#REF!</v>
      </c>
    </row>
    <row r="576" spans="1:15" s="298" customFormat="1" ht="17.100000000000001" hidden="1" customHeight="1">
      <c r="A576" s="736" t="e">
        <f t="shared" si="365"/>
        <v>#REF!</v>
      </c>
      <c r="B576" s="296" t="s">
        <v>84</v>
      </c>
      <c r="C576" s="296" t="s">
        <v>85</v>
      </c>
      <c r="D576" s="297" t="s">
        <v>9</v>
      </c>
      <c r="E576" s="788"/>
      <c r="F576" s="738" t="e">
        <f>#REF!</f>
        <v>#REF!</v>
      </c>
      <c r="G576" s="738" t="e">
        <f>#REF!</f>
        <v>#REF!</v>
      </c>
      <c r="H576" s="738" t="e">
        <f>#REF!</f>
        <v>#REF!</v>
      </c>
      <c r="I576" s="739" t="e">
        <f t="shared" si="388"/>
        <v>#REF!</v>
      </c>
      <c r="J576" s="739" t="e">
        <f t="shared" si="389"/>
        <v>#REF!</v>
      </c>
      <c r="K576" s="740" t="e">
        <f t="shared" si="390"/>
        <v>#REF!</v>
      </c>
      <c r="L576" s="735" t="e">
        <f t="shared" si="373"/>
        <v>#REF!</v>
      </c>
      <c r="N576" s="741" t="e">
        <f t="shared" si="370"/>
        <v>#REF!</v>
      </c>
      <c r="O576" s="741" t="e">
        <f t="shared" si="367"/>
        <v>#REF!</v>
      </c>
    </row>
    <row r="577" spans="1:15" s="298" customFormat="1" ht="17.100000000000001" hidden="1" customHeight="1">
      <c r="A577" s="736" t="e">
        <f t="shared" si="365"/>
        <v>#REF!</v>
      </c>
      <c r="B577" s="296" t="s">
        <v>62</v>
      </c>
      <c r="C577" s="296" t="s">
        <v>662</v>
      </c>
      <c r="D577" s="297" t="s">
        <v>59</v>
      </c>
      <c r="E577" s="788"/>
      <c r="F577" s="738" t="e">
        <f>#REF!</f>
        <v>#REF!</v>
      </c>
      <c r="G577" s="738" t="e">
        <f>#REF!</f>
        <v>#REF!</v>
      </c>
      <c r="H577" s="738" t="e">
        <f>#REF!</f>
        <v>#REF!</v>
      </c>
      <c r="I577" s="739" t="e">
        <f t="shared" si="388"/>
        <v>#REF!</v>
      </c>
      <c r="J577" s="739" t="e">
        <f t="shared" si="389"/>
        <v>#REF!</v>
      </c>
      <c r="K577" s="740" t="e">
        <f t="shared" si="390"/>
        <v>#REF!</v>
      </c>
      <c r="L577" s="735" t="e">
        <f t="shared" si="373"/>
        <v>#REF!</v>
      </c>
      <c r="N577" s="741" t="e">
        <f t="shared" si="370"/>
        <v>#REF!</v>
      </c>
      <c r="O577" s="741" t="e">
        <f t="shared" si="367"/>
        <v>#REF!</v>
      </c>
    </row>
    <row r="578" spans="1:15" s="298" customFormat="1" ht="17.100000000000001" hidden="1" customHeight="1">
      <c r="A578" s="736" t="e">
        <f t="shared" si="365"/>
        <v>#REF!</v>
      </c>
      <c r="B578" s="296" t="s">
        <v>663</v>
      </c>
      <c r="C578" s="296" t="s">
        <v>664</v>
      </c>
      <c r="D578" s="297" t="s">
        <v>59</v>
      </c>
      <c r="E578" s="788"/>
      <c r="F578" s="738" t="e">
        <f>#REF!</f>
        <v>#REF!</v>
      </c>
      <c r="G578" s="738" t="e">
        <f>#REF!</f>
        <v>#REF!</v>
      </c>
      <c r="H578" s="738" t="e">
        <f>#REF!</f>
        <v>#REF!</v>
      </c>
      <c r="I578" s="739" t="e">
        <f t="shared" si="388"/>
        <v>#REF!</v>
      </c>
      <c r="J578" s="739" t="e">
        <f t="shared" si="389"/>
        <v>#REF!</v>
      </c>
      <c r="K578" s="740" t="e">
        <f t="shared" si="390"/>
        <v>#REF!</v>
      </c>
      <c r="L578" s="735" t="e">
        <f t="shared" si="373"/>
        <v>#REF!</v>
      </c>
      <c r="N578" s="741" t="e">
        <f t="shared" si="370"/>
        <v>#REF!</v>
      </c>
      <c r="O578" s="741" t="e">
        <f t="shared" si="367"/>
        <v>#REF!</v>
      </c>
    </row>
    <row r="579" spans="1:15" s="298" customFormat="1" ht="17.100000000000001" hidden="1" customHeight="1">
      <c r="A579" s="736" t="e">
        <f t="shared" si="365"/>
        <v>#REF!</v>
      </c>
      <c r="B579" s="296" t="s">
        <v>595</v>
      </c>
      <c r="C579" s="296" t="s">
        <v>666</v>
      </c>
      <c r="D579" s="297" t="s">
        <v>667</v>
      </c>
      <c r="E579" s="788"/>
      <c r="F579" s="738" t="e">
        <f>#REF!</f>
        <v>#REF!</v>
      </c>
      <c r="G579" s="738" t="e">
        <f>#REF!</f>
        <v>#REF!</v>
      </c>
      <c r="H579" s="738" t="e">
        <f>#REF!</f>
        <v>#REF!</v>
      </c>
      <c r="I579" s="739" t="e">
        <f t="shared" si="388"/>
        <v>#REF!</v>
      </c>
      <c r="J579" s="739" t="e">
        <f t="shared" si="389"/>
        <v>#REF!</v>
      </c>
      <c r="K579" s="740" t="e">
        <f t="shared" si="390"/>
        <v>#REF!</v>
      </c>
      <c r="L579" s="735" t="e">
        <f t="shared" si="373"/>
        <v>#REF!</v>
      </c>
      <c r="N579" s="741" t="e">
        <f t="shared" si="370"/>
        <v>#REF!</v>
      </c>
      <c r="O579" s="741" t="e">
        <f t="shared" si="367"/>
        <v>#REF!</v>
      </c>
    </row>
    <row r="580" spans="1:15" s="298" customFormat="1" ht="17.100000000000001" hidden="1" customHeight="1">
      <c r="A580" s="736" t="e">
        <f t="shared" si="365"/>
        <v>#REF!</v>
      </c>
      <c r="B580" s="296" t="s">
        <v>596</v>
      </c>
      <c r="C580" s="296" t="s">
        <v>668</v>
      </c>
      <c r="D580" s="297" t="s">
        <v>9</v>
      </c>
      <c r="E580" s="788"/>
      <c r="F580" s="738" t="e">
        <f>#REF!</f>
        <v>#REF!</v>
      </c>
      <c r="G580" s="738" t="e">
        <f>#REF!</f>
        <v>#REF!</v>
      </c>
      <c r="H580" s="738" t="e">
        <f>#REF!</f>
        <v>#REF!</v>
      </c>
      <c r="I580" s="739" t="e">
        <f t="shared" si="388"/>
        <v>#REF!</v>
      </c>
      <c r="J580" s="739" t="e">
        <f t="shared" si="389"/>
        <v>#REF!</v>
      </c>
      <c r="K580" s="740" t="e">
        <f t="shared" si="390"/>
        <v>#REF!</v>
      </c>
      <c r="L580" s="735" t="e">
        <f t="shared" si="373"/>
        <v>#REF!</v>
      </c>
      <c r="N580" s="741" t="e">
        <f t="shared" si="370"/>
        <v>#REF!</v>
      </c>
      <c r="O580" s="741" t="e">
        <f t="shared" si="367"/>
        <v>#REF!</v>
      </c>
    </row>
    <row r="581" spans="1:15" s="298" customFormat="1" ht="17.100000000000001" hidden="1" customHeight="1">
      <c r="A581" s="736" t="e">
        <f t="shared" si="365"/>
        <v>#REF!</v>
      </c>
      <c r="B581" s="296" t="s">
        <v>669</v>
      </c>
      <c r="C581" s="296" t="s">
        <v>670</v>
      </c>
      <c r="D581" s="297" t="s">
        <v>671</v>
      </c>
      <c r="E581" s="788"/>
      <c r="F581" s="738" t="e">
        <f>#REF!</f>
        <v>#REF!</v>
      </c>
      <c r="G581" s="738" t="e">
        <f>#REF!</f>
        <v>#REF!</v>
      </c>
      <c r="H581" s="738" t="e">
        <f>#REF!</f>
        <v>#REF!</v>
      </c>
      <c r="I581" s="739" t="e">
        <f t="shared" si="388"/>
        <v>#REF!</v>
      </c>
      <c r="J581" s="739" t="e">
        <f t="shared" si="389"/>
        <v>#REF!</v>
      </c>
      <c r="K581" s="740" t="e">
        <f t="shared" si="390"/>
        <v>#REF!</v>
      </c>
      <c r="L581" s="735" t="e">
        <f t="shared" si="373"/>
        <v>#REF!</v>
      </c>
      <c r="N581" s="741" t="e">
        <f t="shared" si="370"/>
        <v>#REF!</v>
      </c>
      <c r="O581" s="741" t="e">
        <f t="shared" si="367"/>
        <v>#REF!</v>
      </c>
    </row>
    <row r="582" spans="1:15" s="298" customFormat="1" ht="17.100000000000001" hidden="1" customHeight="1">
      <c r="A582" s="736" t="e">
        <f t="shared" si="365"/>
        <v>#REF!</v>
      </c>
      <c r="B582" s="296" t="s">
        <v>672</v>
      </c>
      <c r="C582" s="296" t="s">
        <v>673</v>
      </c>
      <c r="D582" s="297" t="s">
        <v>310</v>
      </c>
      <c r="E582" s="788"/>
      <c r="F582" s="738" t="e">
        <f>#REF!</f>
        <v>#REF!</v>
      </c>
      <c r="G582" s="738"/>
      <c r="H582" s="738"/>
      <c r="I582" s="739" t="e">
        <f t="shared" si="388"/>
        <v>#REF!</v>
      </c>
      <c r="J582" s="739">
        <f t="shared" si="389"/>
        <v>0</v>
      </c>
      <c r="K582" s="740">
        <f t="shared" si="390"/>
        <v>0</v>
      </c>
      <c r="L582" s="735" t="e">
        <f t="shared" si="373"/>
        <v>#REF!</v>
      </c>
      <c r="N582" s="741" t="e">
        <f t="shared" si="370"/>
        <v>#REF!</v>
      </c>
      <c r="O582" s="741" t="e">
        <f t="shared" si="367"/>
        <v>#REF!</v>
      </c>
    </row>
    <row r="583" spans="1:15" s="298" customFormat="1" ht="17.100000000000001" hidden="1" customHeight="1">
      <c r="A583" s="736" t="e">
        <f t="shared" si="365"/>
        <v>#REF!</v>
      </c>
      <c r="B583" s="296" t="s">
        <v>674</v>
      </c>
      <c r="C583" s="296" t="s">
        <v>675</v>
      </c>
      <c r="D583" s="297" t="s">
        <v>676</v>
      </c>
      <c r="E583" s="788"/>
      <c r="F583" s="738"/>
      <c r="G583" s="738" t="e">
        <f>#REF!</f>
        <v>#REF!</v>
      </c>
      <c r="H583" s="738" t="e">
        <f>#REF!</f>
        <v>#REF!</v>
      </c>
      <c r="I583" s="739">
        <f t="shared" si="388"/>
        <v>0</v>
      </c>
      <c r="J583" s="739" t="e">
        <f t="shared" si="389"/>
        <v>#REF!</v>
      </c>
      <c r="K583" s="740" t="e">
        <f t="shared" si="390"/>
        <v>#REF!</v>
      </c>
      <c r="L583" s="735" t="e">
        <f t="shared" si="373"/>
        <v>#REF!</v>
      </c>
      <c r="N583" s="741" t="e">
        <f t="shared" si="370"/>
        <v>#REF!</v>
      </c>
      <c r="O583" s="741" t="e">
        <f t="shared" si="367"/>
        <v>#REF!</v>
      </c>
    </row>
    <row r="584" spans="1:15" s="298" customFormat="1" ht="17.100000000000001" hidden="1" customHeight="1">
      <c r="A584" s="736" t="e">
        <f t="shared" si="365"/>
        <v>#REF!</v>
      </c>
      <c r="B584" s="296" t="s">
        <v>677</v>
      </c>
      <c r="C584" s="296" t="s">
        <v>678</v>
      </c>
      <c r="D584" s="297" t="s">
        <v>671</v>
      </c>
      <c r="E584" s="788"/>
      <c r="F584" s="738"/>
      <c r="G584" s="738" t="e">
        <f>#REF!</f>
        <v>#REF!</v>
      </c>
      <c r="H584" s="738"/>
      <c r="I584" s="739">
        <f t="shared" si="388"/>
        <v>0</v>
      </c>
      <c r="J584" s="739" t="e">
        <f t="shared" si="389"/>
        <v>#REF!</v>
      </c>
      <c r="K584" s="740">
        <f t="shared" si="390"/>
        <v>0</v>
      </c>
      <c r="L584" s="735" t="e">
        <f t="shared" si="373"/>
        <v>#REF!</v>
      </c>
      <c r="N584" s="741" t="e">
        <f t="shared" si="370"/>
        <v>#REF!</v>
      </c>
      <c r="O584" s="741" t="e">
        <f t="shared" si="367"/>
        <v>#REF!</v>
      </c>
    </row>
    <row r="585" spans="1:15" s="298" customFormat="1" ht="17.100000000000001" hidden="1" customHeight="1">
      <c r="A585" s="736" t="e">
        <f t="shared" si="365"/>
        <v>#REF!</v>
      </c>
      <c r="B585" s="296" t="s">
        <v>679</v>
      </c>
      <c r="C585" s="296" t="s">
        <v>680</v>
      </c>
      <c r="D585" s="297" t="s">
        <v>88</v>
      </c>
      <c r="E585" s="788"/>
      <c r="F585" s="738"/>
      <c r="G585" s="738"/>
      <c r="H585" s="738" t="e">
        <f>#REF!</f>
        <v>#REF!</v>
      </c>
      <c r="I585" s="739">
        <f t="shared" si="388"/>
        <v>0</v>
      </c>
      <c r="J585" s="739">
        <f t="shared" si="389"/>
        <v>0</v>
      </c>
      <c r="K585" s="740" t="e">
        <f t="shared" si="390"/>
        <v>#REF!</v>
      </c>
      <c r="L585" s="735" t="e">
        <f t="shared" si="373"/>
        <v>#REF!</v>
      </c>
      <c r="N585" s="741" t="e">
        <f t="shared" si="370"/>
        <v>#REF!</v>
      </c>
      <c r="O585" s="741" t="e">
        <f t="shared" si="367"/>
        <v>#REF!</v>
      </c>
    </row>
    <row r="586" spans="1:15" s="298" customFormat="1" ht="17.100000000000001" hidden="1" customHeight="1">
      <c r="A586" s="736" t="e">
        <f t="shared" si="365"/>
        <v>#REF!</v>
      </c>
      <c r="B586" s="296" t="s">
        <v>681</v>
      </c>
      <c r="C586" s="296" t="s">
        <v>682</v>
      </c>
      <c r="D586" s="297" t="s">
        <v>683</v>
      </c>
      <c r="E586" s="788"/>
      <c r="F586" s="738"/>
      <c r="G586" s="738" t="e">
        <f>#REF!</f>
        <v>#REF!</v>
      </c>
      <c r="H586" s="738" t="e">
        <f>#REF!</f>
        <v>#REF!</v>
      </c>
      <c r="I586" s="739">
        <f t="shared" si="388"/>
        <v>0</v>
      </c>
      <c r="J586" s="739" t="e">
        <f t="shared" si="389"/>
        <v>#REF!</v>
      </c>
      <c r="K586" s="740" t="e">
        <f t="shared" si="390"/>
        <v>#REF!</v>
      </c>
      <c r="L586" s="735" t="e">
        <f t="shared" si="373"/>
        <v>#REF!</v>
      </c>
      <c r="N586" s="741" t="e">
        <f t="shared" si="370"/>
        <v>#REF!</v>
      </c>
      <c r="O586" s="741" t="e">
        <f t="shared" si="367"/>
        <v>#REF!</v>
      </c>
    </row>
    <row r="587" spans="1:15" s="298" customFormat="1" ht="17.100000000000001" hidden="1" customHeight="1">
      <c r="A587" s="736" t="e">
        <f t="shared" si="365"/>
        <v>#REF!</v>
      </c>
      <c r="B587" s="296" t="s">
        <v>684</v>
      </c>
      <c r="C587" s="296" t="s">
        <v>685</v>
      </c>
      <c r="D587" s="297" t="s">
        <v>82</v>
      </c>
      <c r="E587" s="788"/>
      <c r="F587" s="738"/>
      <c r="G587" s="738" t="e">
        <f>#REF!</f>
        <v>#REF!</v>
      </c>
      <c r="H587" s="738" t="e">
        <f>#REF!</f>
        <v>#REF!</v>
      </c>
      <c r="I587" s="739">
        <f t="shared" si="388"/>
        <v>0</v>
      </c>
      <c r="J587" s="739" t="e">
        <f t="shared" si="389"/>
        <v>#REF!</v>
      </c>
      <c r="K587" s="740" t="e">
        <f t="shared" si="390"/>
        <v>#REF!</v>
      </c>
      <c r="L587" s="735" t="e">
        <f t="shared" si="373"/>
        <v>#REF!</v>
      </c>
      <c r="N587" s="741" t="e">
        <f t="shared" si="370"/>
        <v>#REF!</v>
      </c>
      <c r="O587" s="741" t="e">
        <f t="shared" si="367"/>
        <v>#REF!</v>
      </c>
    </row>
    <row r="588" spans="1:15" s="298" customFormat="1" ht="17.100000000000001" hidden="1" customHeight="1">
      <c r="A588" s="736" t="e">
        <f t="shared" ref="A588:A651" si="391">IF(SUM(F588:H588)&lt;&gt;0,A587+L588,A587)</f>
        <v>#REF!</v>
      </c>
      <c r="B588" s="296" t="s">
        <v>660</v>
      </c>
      <c r="C588" s="296" t="s">
        <v>686</v>
      </c>
      <c r="D588" s="297" t="s">
        <v>2</v>
      </c>
      <c r="E588" s="788"/>
      <c r="F588" s="738" t="e">
        <f>#REF!</f>
        <v>#REF!</v>
      </c>
      <c r="G588" s="738" t="e">
        <f>#REF!</f>
        <v>#REF!</v>
      </c>
      <c r="H588" s="738" t="e">
        <f>#REF!</f>
        <v>#REF!</v>
      </c>
      <c r="I588" s="739" t="e">
        <f t="shared" si="388"/>
        <v>#REF!</v>
      </c>
      <c r="J588" s="739" t="e">
        <f t="shared" si="389"/>
        <v>#REF!</v>
      </c>
      <c r="K588" s="740" t="e">
        <f t="shared" si="390"/>
        <v>#REF!</v>
      </c>
      <c r="L588" s="735" t="e">
        <f t="shared" si="373"/>
        <v>#REF!</v>
      </c>
      <c r="N588" s="741" t="e">
        <f t="shared" si="370"/>
        <v>#REF!</v>
      </c>
      <c r="O588" s="741" t="e">
        <f t="shared" si="367"/>
        <v>#REF!</v>
      </c>
    </row>
    <row r="589" spans="1:15" s="298" customFormat="1" ht="17.100000000000001" hidden="1" customHeight="1">
      <c r="A589" s="736" t="e">
        <f t="shared" si="391"/>
        <v>#REF!</v>
      </c>
      <c r="B589" s="296" t="s">
        <v>84</v>
      </c>
      <c r="C589" s="296" t="s">
        <v>687</v>
      </c>
      <c r="D589" s="297" t="s">
        <v>9</v>
      </c>
      <c r="E589" s="788"/>
      <c r="F589" s="738" t="e">
        <f>#REF!</f>
        <v>#REF!</v>
      </c>
      <c r="G589" s="738" t="e">
        <f>#REF!</f>
        <v>#REF!</v>
      </c>
      <c r="H589" s="738" t="e">
        <f>#REF!</f>
        <v>#REF!</v>
      </c>
      <c r="I589" s="739" t="e">
        <f t="shared" si="388"/>
        <v>#REF!</v>
      </c>
      <c r="J589" s="739" t="e">
        <f t="shared" si="389"/>
        <v>#REF!</v>
      </c>
      <c r="K589" s="740" t="e">
        <f t="shared" si="390"/>
        <v>#REF!</v>
      </c>
      <c r="L589" s="735" t="e">
        <f t="shared" si="373"/>
        <v>#REF!</v>
      </c>
      <c r="N589" s="741" t="e">
        <f t="shared" si="370"/>
        <v>#REF!</v>
      </c>
      <c r="O589" s="741" t="e">
        <f t="shared" si="367"/>
        <v>#REF!</v>
      </c>
    </row>
    <row r="590" spans="1:15" s="298" customFormat="1" ht="17.100000000000001" hidden="1" customHeight="1">
      <c r="A590" s="736" t="e">
        <f t="shared" si="391"/>
        <v>#REF!</v>
      </c>
      <c r="B590" s="296" t="s">
        <v>62</v>
      </c>
      <c r="C590" s="296" t="s">
        <v>688</v>
      </c>
      <c r="D590" s="297" t="s">
        <v>59</v>
      </c>
      <c r="E590" s="788"/>
      <c r="F590" s="738" t="e">
        <f>#REF!</f>
        <v>#REF!</v>
      </c>
      <c r="G590" s="738" t="e">
        <f>#REF!</f>
        <v>#REF!</v>
      </c>
      <c r="H590" s="738" t="e">
        <f>#REF!</f>
        <v>#REF!</v>
      </c>
      <c r="I590" s="739" t="e">
        <f t="shared" si="388"/>
        <v>#REF!</v>
      </c>
      <c r="J590" s="739" t="e">
        <f t="shared" si="389"/>
        <v>#REF!</v>
      </c>
      <c r="K590" s="740" t="e">
        <f t="shared" si="390"/>
        <v>#REF!</v>
      </c>
      <c r="L590" s="735" t="e">
        <f t="shared" si="373"/>
        <v>#REF!</v>
      </c>
      <c r="N590" s="741" t="e">
        <f t="shared" si="370"/>
        <v>#REF!</v>
      </c>
      <c r="O590" s="741" t="e">
        <f t="shared" si="367"/>
        <v>#REF!</v>
      </c>
    </row>
    <row r="591" spans="1:15" s="298" customFormat="1" ht="17.100000000000001" hidden="1" customHeight="1">
      <c r="A591" s="736" t="e">
        <f t="shared" si="391"/>
        <v>#REF!</v>
      </c>
      <c r="B591" s="296" t="s">
        <v>663</v>
      </c>
      <c r="C591" s="296" t="s">
        <v>689</v>
      </c>
      <c r="D591" s="297" t="s">
        <v>59</v>
      </c>
      <c r="E591" s="788"/>
      <c r="F591" s="738" t="e">
        <f>#REF!</f>
        <v>#REF!</v>
      </c>
      <c r="G591" s="738" t="e">
        <f>#REF!</f>
        <v>#REF!</v>
      </c>
      <c r="H591" s="738" t="e">
        <f>#REF!</f>
        <v>#REF!</v>
      </c>
      <c r="I591" s="739" t="e">
        <f t="shared" si="388"/>
        <v>#REF!</v>
      </c>
      <c r="J591" s="739" t="e">
        <f t="shared" si="389"/>
        <v>#REF!</v>
      </c>
      <c r="K591" s="740" t="e">
        <f t="shared" si="390"/>
        <v>#REF!</v>
      </c>
      <c r="L591" s="735" t="e">
        <f t="shared" si="373"/>
        <v>#REF!</v>
      </c>
      <c r="N591" s="741" t="e">
        <f t="shared" si="370"/>
        <v>#REF!</v>
      </c>
      <c r="O591" s="741" t="e">
        <f t="shared" si="367"/>
        <v>#REF!</v>
      </c>
    </row>
    <row r="592" spans="1:15" s="298" customFormat="1" ht="17.100000000000001" hidden="1" customHeight="1">
      <c r="A592" s="736" t="e">
        <f t="shared" si="391"/>
        <v>#REF!</v>
      </c>
      <c r="B592" s="296" t="s">
        <v>690</v>
      </c>
      <c r="C592" s="296" t="s">
        <v>691</v>
      </c>
      <c r="D592" s="297" t="s">
        <v>2</v>
      </c>
      <c r="E592" s="788"/>
      <c r="F592" s="738" t="e">
        <f>#REF!</f>
        <v>#REF!</v>
      </c>
      <c r="G592" s="738" t="e">
        <f>#REF!</f>
        <v>#REF!</v>
      </c>
      <c r="H592" s="738" t="e">
        <f>#REF!</f>
        <v>#REF!</v>
      </c>
      <c r="I592" s="739" t="e">
        <f t="shared" si="388"/>
        <v>#REF!</v>
      </c>
      <c r="J592" s="739" t="e">
        <f t="shared" si="389"/>
        <v>#REF!</v>
      </c>
      <c r="K592" s="740" t="e">
        <f t="shared" si="390"/>
        <v>#REF!</v>
      </c>
      <c r="L592" s="735" t="e">
        <f t="shared" si="373"/>
        <v>#REF!</v>
      </c>
      <c r="N592" s="741" t="e">
        <f t="shared" si="370"/>
        <v>#REF!</v>
      </c>
      <c r="O592" s="741" t="e">
        <f t="shared" si="367"/>
        <v>#REF!</v>
      </c>
    </row>
    <row r="593" spans="1:15" s="298" customFormat="1" ht="17.100000000000001" hidden="1" customHeight="1">
      <c r="A593" s="736" t="e">
        <f t="shared" si="391"/>
        <v>#REF!</v>
      </c>
      <c r="B593" s="296" t="s">
        <v>546</v>
      </c>
      <c r="C593" s="296" t="s">
        <v>1568</v>
      </c>
      <c r="D593" s="297" t="s">
        <v>2</v>
      </c>
      <c r="E593" s="788"/>
      <c r="F593" s="738" t="e">
        <f>#REF!</f>
        <v>#REF!</v>
      </c>
      <c r="G593" s="738" t="e">
        <f>#REF!</f>
        <v>#REF!</v>
      </c>
      <c r="H593" s="738" t="e">
        <f>#REF!</f>
        <v>#REF!</v>
      </c>
      <c r="I593" s="739" t="e">
        <f t="shared" si="388"/>
        <v>#REF!</v>
      </c>
      <c r="J593" s="739" t="e">
        <f t="shared" si="389"/>
        <v>#REF!</v>
      </c>
      <c r="K593" s="740" t="e">
        <f t="shared" si="390"/>
        <v>#REF!</v>
      </c>
      <c r="L593" s="735" t="e">
        <f t="shared" si="373"/>
        <v>#REF!</v>
      </c>
      <c r="N593" s="741" t="e">
        <f t="shared" si="370"/>
        <v>#REF!</v>
      </c>
      <c r="O593" s="741" t="e">
        <f t="shared" si="367"/>
        <v>#REF!</v>
      </c>
    </row>
    <row r="594" spans="1:15" s="298" customFormat="1" ht="17.100000000000001" hidden="1" customHeight="1">
      <c r="A594" s="736" t="e">
        <f t="shared" si="391"/>
        <v>#REF!</v>
      </c>
      <c r="B594" s="296" t="s">
        <v>692</v>
      </c>
      <c r="C594" s="296" t="s">
        <v>693</v>
      </c>
      <c r="D594" s="297" t="s">
        <v>2</v>
      </c>
      <c r="E594" s="788"/>
      <c r="F594" s="738"/>
      <c r="G594" s="738" t="e">
        <f>#REF!</f>
        <v>#REF!</v>
      </c>
      <c r="H594" s="738" t="e">
        <f>#REF!</f>
        <v>#REF!</v>
      </c>
      <c r="I594" s="739">
        <f t="shared" si="388"/>
        <v>0</v>
      </c>
      <c r="J594" s="739" t="e">
        <f t="shared" si="389"/>
        <v>#REF!</v>
      </c>
      <c r="K594" s="740" t="e">
        <f t="shared" si="390"/>
        <v>#REF!</v>
      </c>
      <c r="L594" s="735" t="e">
        <f t="shared" si="373"/>
        <v>#REF!</v>
      </c>
      <c r="N594" s="741" t="e">
        <f t="shared" si="370"/>
        <v>#REF!</v>
      </c>
      <c r="O594" s="741" t="e">
        <f t="shared" si="367"/>
        <v>#REF!</v>
      </c>
    </row>
    <row r="595" spans="1:15" s="298" customFormat="1" ht="17.100000000000001" hidden="1" customHeight="1">
      <c r="A595" s="736" t="e">
        <f t="shared" si="391"/>
        <v>#REF!</v>
      </c>
      <c r="B595" s="296" t="s">
        <v>694</v>
      </c>
      <c r="C595" s="296" t="s">
        <v>695</v>
      </c>
      <c r="D595" s="297" t="s">
        <v>2</v>
      </c>
      <c r="E595" s="788"/>
      <c r="F595" s="738"/>
      <c r="G595" s="738" t="e">
        <f>#REF!</f>
        <v>#REF!</v>
      </c>
      <c r="H595" s="738"/>
      <c r="I595" s="739">
        <f t="shared" si="388"/>
        <v>0</v>
      </c>
      <c r="J595" s="739" t="e">
        <f t="shared" si="389"/>
        <v>#REF!</v>
      </c>
      <c r="K595" s="740">
        <f t="shared" si="390"/>
        <v>0</v>
      </c>
      <c r="L595" s="735" t="e">
        <f t="shared" si="373"/>
        <v>#REF!</v>
      </c>
      <c r="N595" s="741" t="e">
        <f t="shared" si="370"/>
        <v>#REF!</v>
      </c>
      <c r="O595" s="741" t="e">
        <f t="shared" si="367"/>
        <v>#REF!</v>
      </c>
    </row>
    <row r="596" spans="1:15" s="298" customFormat="1" ht="17.100000000000001" hidden="1" customHeight="1">
      <c r="A596" s="736" t="e">
        <f t="shared" si="391"/>
        <v>#REF!</v>
      </c>
      <c r="B596" s="296" t="s">
        <v>550</v>
      </c>
      <c r="C596" s="296" t="s">
        <v>696</v>
      </c>
      <c r="D596" s="297" t="s">
        <v>2</v>
      </c>
      <c r="E596" s="788"/>
      <c r="F596" s="738"/>
      <c r="G596" s="738" t="e">
        <f>#REF!</f>
        <v>#REF!</v>
      </c>
      <c r="H596" s="738" t="e">
        <f>#REF!</f>
        <v>#REF!</v>
      </c>
      <c r="I596" s="739">
        <f t="shared" si="388"/>
        <v>0</v>
      </c>
      <c r="J596" s="739" t="e">
        <f t="shared" si="389"/>
        <v>#REF!</v>
      </c>
      <c r="K596" s="740" t="e">
        <f t="shared" si="390"/>
        <v>#REF!</v>
      </c>
      <c r="L596" s="735" t="e">
        <f t="shared" si="373"/>
        <v>#REF!</v>
      </c>
      <c r="N596" s="741" t="e">
        <f t="shared" si="370"/>
        <v>#REF!</v>
      </c>
      <c r="O596" s="741" t="e">
        <f t="shared" si="367"/>
        <v>#REF!</v>
      </c>
    </row>
    <row r="597" spans="1:15" s="298" customFormat="1" ht="17.100000000000001" hidden="1" customHeight="1">
      <c r="A597" s="736" t="e">
        <f t="shared" si="391"/>
        <v>#REF!</v>
      </c>
      <c r="B597" s="296" t="s">
        <v>697</v>
      </c>
      <c r="C597" s="296" t="s">
        <v>1569</v>
      </c>
      <c r="D597" s="297" t="s">
        <v>310</v>
      </c>
      <c r="E597" s="788"/>
      <c r="F597" s="738" t="e">
        <f>#REF!</f>
        <v>#REF!</v>
      </c>
      <c r="G597" s="738" t="e">
        <f>#REF!</f>
        <v>#REF!</v>
      </c>
      <c r="H597" s="738" t="e">
        <f>#REF!</f>
        <v>#REF!</v>
      </c>
      <c r="I597" s="739" t="e">
        <f t="shared" si="388"/>
        <v>#REF!</v>
      </c>
      <c r="J597" s="739" t="e">
        <f t="shared" si="389"/>
        <v>#REF!</v>
      </c>
      <c r="K597" s="740" t="e">
        <f t="shared" si="390"/>
        <v>#REF!</v>
      </c>
      <c r="L597" s="735" t="e">
        <f t="shared" si="373"/>
        <v>#REF!</v>
      </c>
      <c r="N597" s="741" t="e">
        <f t="shared" si="370"/>
        <v>#REF!</v>
      </c>
      <c r="O597" s="741" t="e">
        <f t="shared" si="367"/>
        <v>#REF!</v>
      </c>
    </row>
    <row r="598" spans="1:15" s="298" customFormat="1" ht="17.100000000000001" hidden="1" customHeight="1">
      <c r="A598" s="736" t="e">
        <f t="shared" si="391"/>
        <v>#REF!</v>
      </c>
      <c r="B598" s="296" t="s">
        <v>6</v>
      </c>
      <c r="C598" s="296" t="s">
        <v>698</v>
      </c>
      <c r="D598" s="297" t="s">
        <v>2</v>
      </c>
      <c r="E598" s="788"/>
      <c r="F598" s="738"/>
      <c r="G598" s="738" t="e">
        <f>#REF!</f>
        <v>#REF!</v>
      </c>
      <c r="H598" s="738" t="e">
        <f>#REF!</f>
        <v>#REF!</v>
      </c>
      <c r="I598" s="739">
        <f t="shared" si="388"/>
        <v>0</v>
      </c>
      <c r="J598" s="739" t="e">
        <f t="shared" si="389"/>
        <v>#REF!</v>
      </c>
      <c r="K598" s="740" t="e">
        <f t="shared" si="390"/>
        <v>#REF!</v>
      </c>
      <c r="L598" s="735" t="e">
        <f t="shared" si="373"/>
        <v>#REF!</v>
      </c>
      <c r="N598" s="741" t="e">
        <f t="shared" si="370"/>
        <v>#REF!</v>
      </c>
      <c r="O598" s="741" t="e">
        <f t="shared" si="367"/>
        <v>#REF!</v>
      </c>
    </row>
    <row r="599" spans="1:15" s="298" customFormat="1" ht="17.100000000000001" hidden="1" customHeight="1">
      <c r="A599" s="736" t="e">
        <f t="shared" si="391"/>
        <v>#REF!</v>
      </c>
      <c r="B599" s="296" t="s">
        <v>690</v>
      </c>
      <c r="C599" s="296" t="s">
        <v>699</v>
      </c>
      <c r="D599" s="297" t="s">
        <v>2</v>
      </c>
      <c r="E599" s="788"/>
      <c r="F599" s="738" t="e">
        <f>#REF!</f>
        <v>#REF!</v>
      </c>
      <c r="G599" s="738" t="e">
        <f>#REF!</f>
        <v>#REF!</v>
      </c>
      <c r="H599" s="738" t="e">
        <f>#REF!</f>
        <v>#REF!</v>
      </c>
      <c r="I599" s="739" t="e">
        <f t="shared" si="388"/>
        <v>#REF!</v>
      </c>
      <c r="J599" s="739" t="e">
        <f t="shared" si="389"/>
        <v>#REF!</v>
      </c>
      <c r="K599" s="740" t="e">
        <f t="shared" si="390"/>
        <v>#REF!</v>
      </c>
      <c r="L599" s="735" t="e">
        <f t="shared" si="373"/>
        <v>#REF!</v>
      </c>
      <c r="N599" s="741" t="e">
        <f t="shared" si="370"/>
        <v>#REF!</v>
      </c>
      <c r="O599" s="741" t="e">
        <f t="shared" si="367"/>
        <v>#REF!</v>
      </c>
    </row>
    <row r="600" spans="1:15" s="298" customFormat="1" ht="17.100000000000001" hidden="1" customHeight="1">
      <c r="A600" s="736" t="e">
        <f t="shared" si="391"/>
        <v>#REF!</v>
      </c>
      <c r="B600" s="296" t="s">
        <v>700</v>
      </c>
      <c r="C600" s="296" t="s">
        <v>701</v>
      </c>
      <c r="D600" s="297" t="s">
        <v>2</v>
      </c>
      <c r="E600" s="788"/>
      <c r="F600" s="738"/>
      <c r="G600" s="738" t="e">
        <f>#REF!</f>
        <v>#REF!</v>
      </c>
      <c r="H600" s="738" t="e">
        <f>#REF!</f>
        <v>#REF!</v>
      </c>
      <c r="I600" s="739">
        <f t="shared" si="388"/>
        <v>0</v>
      </c>
      <c r="J600" s="739" t="e">
        <f t="shared" si="389"/>
        <v>#REF!</v>
      </c>
      <c r="K600" s="740" t="e">
        <f t="shared" si="390"/>
        <v>#REF!</v>
      </c>
      <c r="L600" s="735" t="e">
        <f t="shared" si="373"/>
        <v>#REF!</v>
      </c>
      <c r="N600" s="741" t="e">
        <f t="shared" si="370"/>
        <v>#REF!</v>
      </c>
      <c r="O600" s="741" t="e">
        <f t="shared" si="367"/>
        <v>#REF!</v>
      </c>
    </row>
    <row r="601" spans="1:15" s="298" customFormat="1" ht="17.100000000000001" hidden="1" customHeight="1">
      <c r="A601" s="736" t="e">
        <f t="shared" si="391"/>
        <v>#REF!</v>
      </c>
      <c r="B601" s="296" t="s">
        <v>692</v>
      </c>
      <c r="C601" s="296" t="s">
        <v>693</v>
      </c>
      <c r="D601" s="297" t="s">
        <v>2</v>
      </c>
      <c r="E601" s="788"/>
      <c r="F601" s="738"/>
      <c r="G601" s="738" t="e">
        <f>#REF!</f>
        <v>#REF!</v>
      </c>
      <c r="H601" s="738" t="e">
        <f>#REF!</f>
        <v>#REF!</v>
      </c>
      <c r="I601" s="739">
        <f t="shared" si="388"/>
        <v>0</v>
      </c>
      <c r="J601" s="739" t="e">
        <f t="shared" si="389"/>
        <v>#REF!</v>
      </c>
      <c r="K601" s="740" t="e">
        <f t="shared" si="390"/>
        <v>#REF!</v>
      </c>
      <c r="L601" s="735" t="e">
        <f t="shared" si="373"/>
        <v>#REF!</v>
      </c>
      <c r="N601" s="741" t="e">
        <f t="shared" si="370"/>
        <v>#REF!</v>
      </c>
      <c r="O601" s="741" t="e">
        <f t="shared" si="367"/>
        <v>#REF!</v>
      </c>
    </row>
    <row r="602" spans="1:15" s="298" customFormat="1" ht="17.100000000000001" hidden="1" customHeight="1">
      <c r="A602" s="736" t="e">
        <f t="shared" si="391"/>
        <v>#REF!</v>
      </c>
      <c r="B602" s="296" t="s">
        <v>1030</v>
      </c>
      <c r="C602" s="296" t="s">
        <v>1570</v>
      </c>
      <c r="D602" s="297" t="s">
        <v>310</v>
      </c>
      <c r="E602" s="788"/>
      <c r="F602" s="738" t="e">
        <f>#REF!</f>
        <v>#REF!</v>
      </c>
      <c r="G602" s="738" t="e">
        <f>#REF!</f>
        <v>#REF!</v>
      </c>
      <c r="H602" s="738" t="e">
        <f>#REF!</f>
        <v>#REF!</v>
      </c>
      <c r="I602" s="739" t="e">
        <f t="shared" si="388"/>
        <v>#REF!</v>
      </c>
      <c r="J602" s="739" t="e">
        <f t="shared" si="389"/>
        <v>#REF!</v>
      </c>
      <c r="K602" s="740" t="e">
        <f t="shared" si="390"/>
        <v>#REF!</v>
      </c>
      <c r="L602" s="735" t="e">
        <f t="shared" si="373"/>
        <v>#REF!</v>
      </c>
      <c r="N602" s="741" t="e">
        <f t="shared" si="370"/>
        <v>#REF!</v>
      </c>
      <c r="O602" s="741" t="e">
        <f t="shared" si="367"/>
        <v>#REF!</v>
      </c>
    </row>
    <row r="603" spans="1:15" s="298" customFormat="1" ht="17.100000000000001" hidden="1" customHeight="1">
      <c r="A603" s="736" t="e">
        <f t="shared" si="391"/>
        <v>#REF!</v>
      </c>
      <c r="B603" s="296" t="s">
        <v>0</v>
      </c>
      <c r="C603" s="737" t="s">
        <v>702</v>
      </c>
      <c r="D603" s="297" t="s">
        <v>0</v>
      </c>
      <c r="E603" s="788"/>
      <c r="F603" s="738"/>
      <c r="G603" s="738"/>
      <c r="H603" s="738"/>
      <c r="I603" s="739"/>
      <c r="J603" s="739"/>
      <c r="K603" s="740"/>
      <c r="L603" s="735">
        <f t="shared" si="373"/>
        <v>0</v>
      </c>
      <c r="N603" s="741">
        <f t="shared" si="370"/>
        <v>0</v>
      </c>
      <c r="O603" s="741">
        <f t="shared" si="367"/>
        <v>0</v>
      </c>
    </row>
    <row r="604" spans="1:15" s="298" customFormat="1" ht="17.100000000000001" hidden="1" customHeight="1">
      <c r="A604" s="736" t="e">
        <f t="shared" si="391"/>
        <v>#REF!</v>
      </c>
      <c r="B604" s="296" t="s">
        <v>78</v>
      </c>
      <c r="C604" s="296" t="s">
        <v>703</v>
      </c>
      <c r="D604" s="297" t="s">
        <v>2</v>
      </c>
      <c r="E604" s="788"/>
      <c r="F604" s="738" t="e">
        <f>#REF!</f>
        <v>#REF!</v>
      </c>
      <c r="G604" s="738" t="e">
        <f>#REF!</f>
        <v>#REF!</v>
      </c>
      <c r="H604" s="738" t="e">
        <f>#REF!</f>
        <v>#REF!</v>
      </c>
      <c r="I604" s="739" t="e">
        <f t="shared" ref="I604:I616" si="392">E604*F604</f>
        <v>#REF!</v>
      </c>
      <c r="J604" s="739" t="e">
        <f t="shared" ref="J604:J616" si="393">E604*G604</f>
        <v>#REF!</v>
      </c>
      <c r="K604" s="740" t="e">
        <f t="shared" ref="K604:K616" si="394">E604*H604</f>
        <v>#REF!</v>
      </c>
      <c r="L604" s="735" t="e">
        <f t="shared" si="373"/>
        <v>#REF!</v>
      </c>
      <c r="N604" s="741" t="e">
        <f t="shared" si="370"/>
        <v>#REF!</v>
      </c>
      <c r="O604" s="741" t="e">
        <f t="shared" si="367"/>
        <v>#REF!</v>
      </c>
    </row>
    <row r="605" spans="1:15" s="298" customFormat="1" ht="17.100000000000001" hidden="1" customHeight="1">
      <c r="A605" s="736" t="e">
        <f t="shared" si="391"/>
        <v>#REF!</v>
      </c>
      <c r="B605" s="296" t="s">
        <v>805</v>
      </c>
      <c r="C605" s="296" t="s">
        <v>704</v>
      </c>
      <c r="D605" s="297" t="s">
        <v>2</v>
      </c>
      <c r="E605" s="788"/>
      <c r="F605" s="738" t="e">
        <f>#REF!</f>
        <v>#REF!</v>
      </c>
      <c r="G605" s="738" t="e">
        <f>#REF!</f>
        <v>#REF!</v>
      </c>
      <c r="H605" s="738" t="e">
        <f>#REF!</f>
        <v>#REF!</v>
      </c>
      <c r="I605" s="739" t="e">
        <f t="shared" si="392"/>
        <v>#REF!</v>
      </c>
      <c r="J605" s="739" t="e">
        <f t="shared" si="393"/>
        <v>#REF!</v>
      </c>
      <c r="K605" s="740" t="e">
        <f t="shared" si="394"/>
        <v>#REF!</v>
      </c>
      <c r="L605" s="735" t="e">
        <f t="shared" si="373"/>
        <v>#REF!</v>
      </c>
      <c r="N605" s="741" t="e">
        <f t="shared" si="370"/>
        <v>#REF!</v>
      </c>
      <c r="O605" s="741" t="e">
        <f t="shared" si="367"/>
        <v>#REF!</v>
      </c>
    </row>
    <row r="606" spans="1:15" s="298" customFormat="1" ht="17.100000000000001" hidden="1" customHeight="1">
      <c r="A606" s="736" t="e">
        <f t="shared" si="391"/>
        <v>#REF!</v>
      </c>
      <c r="B606" s="296" t="s">
        <v>1571</v>
      </c>
      <c r="C606" s="296" t="s">
        <v>706</v>
      </c>
      <c r="D606" s="297" t="s">
        <v>2</v>
      </c>
      <c r="E606" s="788"/>
      <c r="F606" s="738" t="e">
        <f>#REF!</f>
        <v>#REF!</v>
      </c>
      <c r="G606" s="738" t="e">
        <f>#REF!</f>
        <v>#REF!</v>
      </c>
      <c r="H606" s="738" t="e">
        <f>#REF!</f>
        <v>#REF!</v>
      </c>
      <c r="I606" s="739" t="e">
        <f t="shared" si="392"/>
        <v>#REF!</v>
      </c>
      <c r="J606" s="739" t="e">
        <f t="shared" si="393"/>
        <v>#REF!</v>
      </c>
      <c r="K606" s="740" t="e">
        <f t="shared" si="394"/>
        <v>#REF!</v>
      </c>
      <c r="L606" s="735" t="e">
        <f t="shared" si="373"/>
        <v>#REF!</v>
      </c>
      <c r="N606" s="741" t="e">
        <f t="shared" si="370"/>
        <v>#REF!</v>
      </c>
      <c r="O606" s="741" t="e">
        <f t="shared" si="367"/>
        <v>#REF!</v>
      </c>
    </row>
    <row r="607" spans="1:15" s="298" customFormat="1" ht="17.100000000000001" hidden="1" customHeight="1">
      <c r="A607" s="736" t="e">
        <f t="shared" si="391"/>
        <v>#REF!</v>
      </c>
      <c r="B607" s="296" t="s">
        <v>62</v>
      </c>
      <c r="C607" s="296" t="s">
        <v>707</v>
      </c>
      <c r="D607" s="297" t="s">
        <v>59</v>
      </c>
      <c r="E607" s="788"/>
      <c r="F607" s="738" t="e">
        <f>#REF!</f>
        <v>#REF!</v>
      </c>
      <c r="G607" s="738" t="e">
        <f>#REF!</f>
        <v>#REF!</v>
      </c>
      <c r="H607" s="738" t="e">
        <f>#REF!</f>
        <v>#REF!</v>
      </c>
      <c r="I607" s="739" t="e">
        <f t="shared" si="392"/>
        <v>#REF!</v>
      </c>
      <c r="J607" s="739" t="e">
        <f t="shared" si="393"/>
        <v>#REF!</v>
      </c>
      <c r="K607" s="740" t="e">
        <f t="shared" si="394"/>
        <v>#REF!</v>
      </c>
      <c r="L607" s="735" t="e">
        <f t="shared" si="373"/>
        <v>#REF!</v>
      </c>
      <c r="N607" s="741" t="e">
        <f t="shared" si="370"/>
        <v>#REF!</v>
      </c>
      <c r="O607" s="741" t="e">
        <f t="shared" si="367"/>
        <v>#REF!</v>
      </c>
    </row>
    <row r="608" spans="1:15" s="298" customFormat="1" ht="17.100000000000001" hidden="1" customHeight="1">
      <c r="A608" s="736" t="e">
        <f t="shared" si="391"/>
        <v>#REF!</v>
      </c>
      <c r="B608" s="296" t="s">
        <v>708</v>
      </c>
      <c r="C608" s="296" t="s">
        <v>709</v>
      </c>
      <c r="D608" s="297" t="s">
        <v>671</v>
      </c>
      <c r="E608" s="788"/>
      <c r="F608" s="738" t="e">
        <f>#REF!</f>
        <v>#REF!</v>
      </c>
      <c r="G608" s="738" t="e">
        <f>#REF!</f>
        <v>#REF!</v>
      </c>
      <c r="H608" s="738" t="e">
        <f>#REF!</f>
        <v>#REF!</v>
      </c>
      <c r="I608" s="739" t="e">
        <f t="shared" si="392"/>
        <v>#REF!</v>
      </c>
      <c r="J608" s="739" t="e">
        <f t="shared" si="393"/>
        <v>#REF!</v>
      </c>
      <c r="K608" s="740" t="e">
        <f t="shared" si="394"/>
        <v>#REF!</v>
      </c>
      <c r="L608" s="735" t="e">
        <f t="shared" si="373"/>
        <v>#REF!</v>
      </c>
      <c r="N608" s="741" t="e">
        <f t="shared" si="370"/>
        <v>#REF!</v>
      </c>
      <c r="O608" s="741" t="e">
        <f t="shared" si="367"/>
        <v>#REF!</v>
      </c>
    </row>
    <row r="609" spans="1:15" s="298" customFormat="1" ht="17.100000000000001" hidden="1" customHeight="1">
      <c r="A609" s="736" t="e">
        <f t="shared" si="391"/>
        <v>#REF!</v>
      </c>
      <c r="B609" s="296" t="s">
        <v>84</v>
      </c>
      <c r="C609" s="296" t="s">
        <v>710</v>
      </c>
      <c r="D609" s="297" t="s">
        <v>9</v>
      </c>
      <c r="E609" s="788"/>
      <c r="F609" s="738" t="e">
        <f>#REF!</f>
        <v>#REF!</v>
      </c>
      <c r="G609" s="738" t="e">
        <f>#REF!</f>
        <v>#REF!</v>
      </c>
      <c r="H609" s="738" t="e">
        <f>#REF!</f>
        <v>#REF!</v>
      </c>
      <c r="I609" s="739" t="e">
        <f t="shared" si="392"/>
        <v>#REF!</v>
      </c>
      <c r="J609" s="739" t="e">
        <f t="shared" si="393"/>
        <v>#REF!</v>
      </c>
      <c r="K609" s="740" t="e">
        <f t="shared" si="394"/>
        <v>#REF!</v>
      </c>
      <c r="L609" s="735" t="e">
        <f t="shared" si="373"/>
        <v>#REF!</v>
      </c>
      <c r="N609" s="741" t="e">
        <f t="shared" si="370"/>
        <v>#REF!</v>
      </c>
      <c r="O609" s="741" t="e">
        <f t="shared" si="367"/>
        <v>#REF!</v>
      </c>
    </row>
    <row r="610" spans="1:15" s="298" customFormat="1" ht="17.100000000000001" hidden="1" customHeight="1">
      <c r="A610" s="736" t="e">
        <f t="shared" si="391"/>
        <v>#REF!</v>
      </c>
      <c r="B610" s="296" t="s">
        <v>595</v>
      </c>
      <c r="C610" s="296" t="s">
        <v>666</v>
      </c>
      <c r="D610" s="297" t="s">
        <v>667</v>
      </c>
      <c r="E610" s="788"/>
      <c r="F610" s="738" t="e">
        <f>#REF!</f>
        <v>#REF!</v>
      </c>
      <c r="G610" s="738" t="e">
        <f>#REF!</f>
        <v>#REF!</v>
      </c>
      <c r="H610" s="738" t="e">
        <f>#REF!</f>
        <v>#REF!</v>
      </c>
      <c r="I610" s="739" t="e">
        <f t="shared" si="392"/>
        <v>#REF!</v>
      </c>
      <c r="J610" s="739" t="e">
        <f t="shared" si="393"/>
        <v>#REF!</v>
      </c>
      <c r="K610" s="740" t="e">
        <f t="shared" si="394"/>
        <v>#REF!</v>
      </c>
      <c r="L610" s="735" t="e">
        <f t="shared" ref="L610:L681" si="395">IF(OR(SUM(I610:K610)&lt;&gt;0,B610="*"),$L$5,0)</f>
        <v>#REF!</v>
      </c>
      <c r="N610" s="741" t="e">
        <f t="shared" si="370"/>
        <v>#REF!</v>
      </c>
      <c r="O610" s="741" t="e">
        <f t="shared" si="367"/>
        <v>#REF!</v>
      </c>
    </row>
    <row r="611" spans="1:15" s="298" customFormat="1" ht="17.100000000000001" hidden="1" customHeight="1">
      <c r="A611" s="736" t="e">
        <f t="shared" si="391"/>
        <v>#REF!</v>
      </c>
      <c r="B611" s="296" t="s">
        <v>669</v>
      </c>
      <c r="C611" s="296" t="s">
        <v>670</v>
      </c>
      <c r="D611" s="297" t="s">
        <v>671</v>
      </c>
      <c r="E611" s="788"/>
      <c r="F611" s="738" t="e">
        <f>#REF!</f>
        <v>#REF!</v>
      </c>
      <c r="G611" s="738" t="e">
        <f>#REF!</f>
        <v>#REF!</v>
      </c>
      <c r="H611" s="738" t="e">
        <f>#REF!</f>
        <v>#REF!</v>
      </c>
      <c r="I611" s="739" t="e">
        <f t="shared" si="392"/>
        <v>#REF!</v>
      </c>
      <c r="J611" s="739" t="e">
        <f t="shared" si="393"/>
        <v>#REF!</v>
      </c>
      <c r="K611" s="740" t="e">
        <f t="shared" si="394"/>
        <v>#REF!</v>
      </c>
      <c r="L611" s="735" t="e">
        <f t="shared" si="395"/>
        <v>#REF!</v>
      </c>
      <c r="N611" s="741" t="e">
        <f t="shared" ref="N611:N682" si="396">SUM(F611:H611)*1.278</f>
        <v>#REF!</v>
      </c>
      <c r="O611" s="741" t="e">
        <f t="shared" ref="O611:O682" si="397">N611*E611</f>
        <v>#REF!</v>
      </c>
    </row>
    <row r="612" spans="1:15" s="298" customFormat="1" ht="17.100000000000001" hidden="1" customHeight="1">
      <c r="A612" s="736" t="e">
        <f t="shared" si="391"/>
        <v>#REF!</v>
      </c>
      <c r="B612" s="296" t="s">
        <v>708</v>
      </c>
      <c r="C612" s="296" t="s">
        <v>711</v>
      </c>
      <c r="D612" s="297" t="s">
        <v>671</v>
      </c>
      <c r="E612" s="788"/>
      <c r="F612" s="738" t="e">
        <f>#REF!</f>
        <v>#REF!</v>
      </c>
      <c r="G612" s="738" t="e">
        <f>#REF!</f>
        <v>#REF!</v>
      </c>
      <c r="H612" s="738" t="e">
        <f>#REF!</f>
        <v>#REF!</v>
      </c>
      <c r="I612" s="739" t="e">
        <f t="shared" si="392"/>
        <v>#REF!</v>
      </c>
      <c r="J612" s="739" t="e">
        <f t="shared" si="393"/>
        <v>#REF!</v>
      </c>
      <c r="K612" s="740" t="e">
        <f t="shared" si="394"/>
        <v>#REF!</v>
      </c>
      <c r="L612" s="735" t="e">
        <f t="shared" si="395"/>
        <v>#REF!</v>
      </c>
      <c r="N612" s="741" t="e">
        <f t="shared" si="396"/>
        <v>#REF!</v>
      </c>
      <c r="O612" s="741" t="e">
        <f t="shared" si="397"/>
        <v>#REF!</v>
      </c>
    </row>
    <row r="613" spans="1:15" s="298" customFormat="1" ht="17.100000000000001" hidden="1" customHeight="1">
      <c r="A613" s="736" t="e">
        <f t="shared" si="391"/>
        <v>#REF!</v>
      </c>
      <c r="B613" s="296" t="s">
        <v>596</v>
      </c>
      <c r="C613" s="296" t="s">
        <v>668</v>
      </c>
      <c r="D613" s="297" t="s">
        <v>9</v>
      </c>
      <c r="E613" s="788"/>
      <c r="F613" s="738" t="e">
        <f>#REF!</f>
        <v>#REF!</v>
      </c>
      <c r="G613" s="738" t="e">
        <f>#REF!</f>
        <v>#REF!</v>
      </c>
      <c r="H613" s="738" t="e">
        <f>#REF!</f>
        <v>#REF!</v>
      </c>
      <c r="I613" s="739" t="e">
        <f t="shared" si="392"/>
        <v>#REF!</v>
      </c>
      <c r="J613" s="739" t="e">
        <f t="shared" si="393"/>
        <v>#REF!</v>
      </c>
      <c r="K613" s="740" t="e">
        <f t="shared" si="394"/>
        <v>#REF!</v>
      </c>
      <c r="L613" s="735" t="e">
        <f t="shared" si="395"/>
        <v>#REF!</v>
      </c>
      <c r="N613" s="741" t="e">
        <f t="shared" si="396"/>
        <v>#REF!</v>
      </c>
      <c r="O613" s="741" t="e">
        <f t="shared" si="397"/>
        <v>#REF!</v>
      </c>
    </row>
    <row r="614" spans="1:15" s="298" customFormat="1" ht="17.100000000000001" hidden="1" customHeight="1">
      <c r="A614" s="736" t="e">
        <f t="shared" si="391"/>
        <v>#REF!</v>
      </c>
      <c r="B614" s="296" t="s">
        <v>713</v>
      </c>
      <c r="C614" s="296" t="s">
        <v>714</v>
      </c>
      <c r="D614" s="297" t="s">
        <v>2</v>
      </c>
      <c r="E614" s="788"/>
      <c r="F614" s="738" t="e">
        <f>#REF!</f>
        <v>#REF!</v>
      </c>
      <c r="G614" s="738" t="e">
        <f>#REF!</f>
        <v>#REF!</v>
      </c>
      <c r="H614" s="738"/>
      <c r="I614" s="739" t="e">
        <f t="shared" si="392"/>
        <v>#REF!</v>
      </c>
      <c r="J614" s="739" t="e">
        <f t="shared" si="393"/>
        <v>#REF!</v>
      </c>
      <c r="K614" s="740">
        <f t="shared" si="394"/>
        <v>0</v>
      </c>
      <c r="L614" s="735" t="e">
        <f t="shared" si="395"/>
        <v>#REF!</v>
      </c>
      <c r="N614" s="741" t="e">
        <f t="shared" si="396"/>
        <v>#REF!</v>
      </c>
      <c r="O614" s="741" t="e">
        <f t="shared" si="397"/>
        <v>#REF!</v>
      </c>
    </row>
    <row r="615" spans="1:15" s="298" customFormat="1" ht="17.100000000000001" hidden="1" customHeight="1">
      <c r="A615" s="736" t="e">
        <f t="shared" si="391"/>
        <v>#REF!</v>
      </c>
      <c r="B615" s="296" t="s">
        <v>546</v>
      </c>
      <c r="C615" s="296" t="s">
        <v>715</v>
      </c>
      <c r="D615" s="297" t="s">
        <v>2</v>
      </c>
      <c r="E615" s="788"/>
      <c r="F615" s="738" t="e">
        <f>#REF!</f>
        <v>#REF!</v>
      </c>
      <c r="G615" s="738" t="e">
        <f>#REF!</f>
        <v>#REF!</v>
      </c>
      <c r="H615" s="738" t="e">
        <f>#REF!</f>
        <v>#REF!</v>
      </c>
      <c r="I615" s="739" t="e">
        <f t="shared" si="392"/>
        <v>#REF!</v>
      </c>
      <c r="J615" s="739" t="e">
        <f t="shared" si="393"/>
        <v>#REF!</v>
      </c>
      <c r="K615" s="740" t="e">
        <f t="shared" si="394"/>
        <v>#REF!</v>
      </c>
      <c r="L615" s="735" t="e">
        <f t="shared" si="395"/>
        <v>#REF!</v>
      </c>
      <c r="N615" s="741" t="e">
        <f t="shared" si="396"/>
        <v>#REF!</v>
      </c>
      <c r="O615" s="741" t="e">
        <f t="shared" si="397"/>
        <v>#REF!</v>
      </c>
    </row>
    <row r="616" spans="1:15" s="298" customFormat="1" ht="17.100000000000001" hidden="1" customHeight="1">
      <c r="A616" s="736" t="e">
        <f t="shared" si="391"/>
        <v>#REF!</v>
      </c>
      <c r="B616" s="296" t="s">
        <v>716</v>
      </c>
      <c r="C616" s="296" t="s">
        <v>717</v>
      </c>
      <c r="D616" s="297" t="s">
        <v>606</v>
      </c>
      <c r="E616" s="788"/>
      <c r="F616" s="738" t="e">
        <f>#REF!</f>
        <v>#REF!</v>
      </c>
      <c r="G616" s="738"/>
      <c r="H616" s="738"/>
      <c r="I616" s="739" t="e">
        <f t="shared" si="392"/>
        <v>#REF!</v>
      </c>
      <c r="J616" s="739">
        <f t="shared" si="393"/>
        <v>0</v>
      </c>
      <c r="K616" s="740">
        <f t="shared" si="394"/>
        <v>0</v>
      </c>
      <c r="L616" s="735" t="e">
        <f t="shared" si="395"/>
        <v>#REF!</v>
      </c>
      <c r="N616" s="741" t="e">
        <f t="shared" si="396"/>
        <v>#REF!</v>
      </c>
      <c r="O616" s="741" t="e">
        <f t="shared" si="397"/>
        <v>#REF!</v>
      </c>
    </row>
    <row r="617" spans="1:15" s="298" customFormat="1" ht="17.100000000000001" hidden="1" customHeight="1">
      <c r="A617" s="736" t="e">
        <f t="shared" si="391"/>
        <v>#REF!</v>
      </c>
      <c r="B617" s="296" t="s">
        <v>0</v>
      </c>
      <c r="C617" s="737" t="s">
        <v>718</v>
      </c>
      <c r="D617" s="297" t="s">
        <v>0</v>
      </c>
      <c r="E617" s="788"/>
      <c r="F617" s="738"/>
      <c r="G617" s="738"/>
      <c r="H617" s="738"/>
      <c r="I617" s="739"/>
      <c r="J617" s="739"/>
      <c r="K617" s="740"/>
      <c r="L617" s="735">
        <f t="shared" si="395"/>
        <v>0</v>
      </c>
      <c r="N617" s="741">
        <f t="shared" si="396"/>
        <v>0</v>
      </c>
      <c r="O617" s="741">
        <f t="shared" si="397"/>
        <v>0</v>
      </c>
    </row>
    <row r="618" spans="1:15" s="298" customFormat="1" ht="17.100000000000001" hidden="1" customHeight="1">
      <c r="A618" s="736" t="e">
        <f t="shared" si="391"/>
        <v>#REF!</v>
      </c>
      <c r="B618" s="296" t="s">
        <v>1395</v>
      </c>
      <c r="C618" s="296" t="s">
        <v>719</v>
      </c>
      <c r="D618" s="297" t="s">
        <v>2</v>
      </c>
      <c r="E618" s="788"/>
      <c r="F618" s="738" t="e">
        <f>#REF!</f>
        <v>#REF!</v>
      </c>
      <c r="G618" s="738" t="e">
        <f>#REF!</f>
        <v>#REF!</v>
      </c>
      <c r="H618" s="738" t="e">
        <f>#REF!</f>
        <v>#REF!</v>
      </c>
      <c r="I618" s="739" t="e">
        <f>E618*F618</f>
        <v>#REF!</v>
      </c>
      <c r="J618" s="739" t="e">
        <f>E618*G618</f>
        <v>#REF!</v>
      </c>
      <c r="K618" s="740" t="e">
        <f>E618*H618</f>
        <v>#REF!</v>
      </c>
      <c r="L618" s="735" t="e">
        <f t="shared" si="395"/>
        <v>#REF!</v>
      </c>
      <c r="N618" s="741" t="e">
        <f t="shared" si="396"/>
        <v>#REF!</v>
      </c>
      <c r="O618" s="741" t="e">
        <f t="shared" si="397"/>
        <v>#REF!</v>
      </c>
    </row>
    <row r="619" spans="1:15" s="298" customFormat="1" ht="17.100000000000001" hidden="1" customHeight="1">
      <c r="A619" s="736" t="e">
        <f t="shared" si="391"/>
        <v>#REF!</v>
      </c>
      <c r="B619" s="296" t="s">
        <v>84</v>
      </c>
      <c r="C619" s="296" t="s">
        <v>85</v>
      </c>
      <c r="D619" s="297" t="s">
        <v>9</v>
      </c>
      <c r="E619" s="788"/>
      <c r="F619" s="738" t="e">
        <f>#REF!</f>
        <v>#REF!</v>
      </c>
      <c r="G619" s="738" t="e">
        <f>#REF!</f>
        <v>#REF!</v>
      </c>
      <c r="H619" s="738" t="e">
        <f>#REF!</f>
        <v>#REF!</v>
      </c>
      <c r="I619" s="739" t="e">
        <f>E619*F619</f>
        <v>#REF!</v>
      </c>
      <c r="J619" s="739" t="e">
        <f>E619*G619</f>
        <v>#REF!</v>
      </c>
      <c r="K619" s="740" t="e">
        <f>E619*H619</f>
        <v>#REF!</v>
      </c>
      <c r="L619" s="735" t="e">
        <f t="shared" si="395"/>
        <v>#REF!</v>
      </c>
      <c r="N619" s="741" t="e">
        <f t="shared" si="396"/>
        <v>#REF!</v>
      </c>
      <c r="O619" s="741" t="e">
        <f t="shared" si="397"/>
        <v>#REF!</v>
      </c>
    </row>
    <row r="620" spans="1:15" s="298" customFormat="1" ht="17.100000000000001" hidden="1" customHeight="1">
      <c r="A620" s="736" t="e">
        <f t="shared" si="391"/>
        <v>#REF!</v>
      </c>
      <c r="B620" s="296" t="s">
        <v>546</v>
      </c>
      <c r="C620" s="296" t="s">
        <v>715</v>
      </c>
      <c r="D620" s="297" t="s">
        <v>2</v>
      </c>
      <c r="E620" s="788"/>
      <c r="F620" s="738" t="e">
        <f>#REF!</f>
        <v>#REF!</v>
      </c>
      <c r="G620" s="738" t="e">
        <f>#REF!</f>
        <v>#REF!</v>
      </c>
      <c r="H620" s="738" t="e">
        <f>#REF!</f>
        <v>#REF!</v>
      </c>
      <c r="I620" s="739" t="e">
        <f>E620*F620</f>
        <v>#REF!</v>
      </c>
      <c r="J620" s="739" t="e">
        <f>E620*G620</f>
        <v>#REF!</v>
      </c>
      <c r="K620" s="740" t="e">
        <f>E620*H620</f>
        <v>#REF!</v>
      </c>
      <c r="L620" s="735" t="e">
        <f t="shared" si="395"/>
        <v>#REF!</v>
      </c>
      <c r="N620" s="741" t="e">
        <f t="shared" si="396"/>
        <v>#REF!</v>
      </c>
      <c r="O620" s="741" t="e">
        <f t="shared" si="397"/>
        <v>#REF!</v>
      </c>
    </row>
    <row r="621" spans="1:15" s="298" customFormat="1" ht="17.100000000000001" hidden="1" customHeight="1">
      <c r="A621" s="736" t="e">
        <f t="shared" si="391"/>
        <v>#REF!</v>
      </c>
      <c r="B621" s="296" t="s">
        <v>692</v>
      </c>
      <c r="C621" s="296" t="s">
        <v>720</v>
      </c>
      <c r="D621" s="297" t="s">
        <v>2</v>
      </c>
      <c r="E621" s="788"/>
      <c r="F621" s="738"/>
      <c r="G621" s="738" t="e">
        <f>#REF!</f>
        <v>#REF!</v>
      </c>
      <c r="H621" s="738" t="e">
        <f>#REF!</f>
        <v>#REF!</v>
      </c>
      <c r="I621" s="739">
        <f>E621*F621</f>
        <v>0</v>
      </c>
      <c r="J621" s="739" t="e">
        <f>E621*G621</f>
        <v>#REF!</v>
      </c>
      <c r="K621" s="740" t="e">
        <f>E621*H621</f>
        <v>#REF!</v>
      </c>
      <c r="L621" s="735" t="e">
        <f t="shared" si="395"/>
        <v>#REF!</v>
      </c>
      <c r="N621" s="741" t="e">
        <f t="shared" si="396"/>
        <v>#REF!</v>
      </c>
      <c r="O621" s="741" t="e">
        <f t="shared" si="397"/>
        <v>#REF!</v>
      </c>
    </row>
    <row r="622" spans="1:15" s="298" customFormat="1" ht="17.100000000000001" hidden="1" customHeight="1">
      <c r="A622" s="736" t="e">
        <f t="shared" si="391"/>
        <v>#REF!</v>
      </c>
      <c r="B622" s="296" t="s">
        <v>550</v>
      </c>
      <c r="C622" s="296" t="s">
        <v>580</v>
      </c>
      <c r="D622" s="297" t="s">
        <v>2</v>
      </c>
      <c r="E622" s="788"/>
      <c r="F622" s="738"/>
      <c r="G622" s="738" t="e">
        <f>#REF!</f>
        <v>#REF!</v>
      </c>
      <c r="H622" s="738" t="e">
        <f>#REF!</f>
        <v>#REF!</v>
      </c>
      <c r="I622" s="739">
        <f>E622*F622</f>
        <v>0</v>
      </c>
      <c r="J622" s="739" t="e">
        <f>E622*G622</f>
        <v>#REF!</v>
      </c>
      <c r="K622" s="740" t="e">
        <f>E622*H622</f>
        <v>#REF!</v>
      </c>
      <c r="L622" s="735" t="e">
        <f t="shared" si="395"/>
        <v>#REF!</v>
      </c>
      <c r="N622" s="741" t="e">
        <f t="shared" si="396"/>
        <v>#REF!</v>
      </c>
      <c r="O622" s="741" t="e">
        <f t="shared" si="397"/>
        <v>#REF!</v>
      </c>
    </row>
    <row r="623" spans="1:15" s="298" customFormat="1" ht="17.100000000000001" hidden="1" customHeight="1">
      <c r="A623" s="736" t="e">
        <f t="shared" si="391"/>
        <v>#REF!</v>
      </c>
      <c r="B623" s="296" t="s">
        <v>0</v>
      </c>
      <c r="C623" s="737" t="s">
        <v>581</v>
      </c>
      <c r="D623" s="297" t="s">
        <v>0</v>
      </c>
      <c r="E623" s="788"/>
      <c r="F623" s="738"/>
      <c r="G623" s="738"/>
      <c r="H623" s="738"/>
      <c r="I623" s="739"/>
      <c r="J623" s="739"/>
      <c r="K623" s="740"/>
      <c r="L623" s="735">
        <f t="shared" si="395"/>
        <v>0</v>
      </c>
      <c r="N623" s="741">
        <f t="shared" si="396"/>
        <v>0</v>
      </c>
      <c r="O623" s="741">
        <f t="shared" si="397"/>
        <v>0</v>
      </c>
    </row>
    <row r="624" spans="1:15" s="298" customFormat="1" ht="17.100000000000001" hidden="1" customHeight="1">
      <c r="A624" s="736" t="e">
        <f t="shared" si="391"/>
        <v>#REF!</v>
      </c>
      <c r="B624" s="296" t="s">
        <v>1572</v>
      </c>
      <c r="C624" s="296" t="s">
        <v>728</v>
      </c>
      <c r="D624" s="297" t="s">
        <v>2</v>
      </c>
      <c r="E624" s="788"/>
      <c r="F624" s="738" t="e">
        <f>#REF!</f>
        <v>#REF!</v>
      </c>
      <c r="G624" s="738" t="e">
        <f>#REF!</f>
        <v>#REF!</v>
      </c>
      <c r="H624" s="738" t="e">
        <f>#REF!</f>
        <v>#REF!</v>
      </c>
      <c r="I624" s="739" t="e">
        <f t="shared" ref="I624:I630" si="398">E624*F624</f>
        <v>#REF!</v>
      </c>
      <c r="J624" s="739" t="e">
        <f t="shared" ref="J624:J630" si="399">E624*G624</f>
        <v>#REF!</v>
      </c>
      <c r="K624" s="740" t="e">
        <f t="shared" ref="K624:K630" si="400">E624*H624</f>
        <v>#REF!</v>
      </c>
      <c r="L624" s="735" t="e">
        <f t="shared" si="395"/>
        <v>#REF!</v>
      </c>
      <c r="N624" s="741" t="e">
        <f t="shared" si="396"/>
        <v>#REF!</v>
      </c>
      <c r="O624" s="741" t="e">
        <f t="shared" si="397"/>
        <v>#REF!</v>
      </c>
    </row>
    <row r="625" spans="1:15" s="298" customFormat="1" ht="17.100000000000001" hidden="1" customHeight="1">
      <c r="A625" s="736" t="e">
        <f t="shared" si="391"/>
        <v>#REF!</v>
      </c>
      <c r="B625" s="296" t="s">
        <v>38</v>
      </c>
      <c r="C625" s="296" t="s">
        <v>85</v>
      </c>
      <c r="D625" s="297" t="s">
        <v>9</v>
      </c>
      <c r="E625" s="788"/>
      <c r="F625" s="738" t="e">
        <f>#REF!</f>
        <v>#REF!</v>
      </c>
      <c r="G625" s="738" t="e">
        <f>#REF!</f>
        <v>#REF!</v>
      </c>
      <c r="H625" s="738" t="e">
        <f>#REF!</f>
        <v>#REF!</v>
      </c>
      <c r="I625" s="739" t="e">
        <f t="shared" si="398"/>
        <v>#REF!</v>
      </c>
      <c r="J625" s="739" t="e">
        <f t="shared" si="399"/>
        <v>#REF!</v>
      </c>
      <c r="K625" s="740" t="e">
        <f t="shared" si="400"/>
        <v>#REF!</v>
      </c>
      <c r="L625" s="735" t="e">
        <f t="shared" si="395"/>
        <v>#REF!</v>
      </c>
      <c r="N625" s="741" t="e">
        <f t="shared" si="396"/>
        <v>#REF!</v>
      </c>
      <c r="O625" s="741" t="e">
        <f t="shared" si="397"/>
        <v>#REF!</v>
      </c>
    </row>
    <row r="626" spans="1:15" s="298" customFormat="1" ht="17.100000000000001" hidden="1" customHeight="1">
      <c r="A626" s="736" t="e">
        <f t="shared" si="391"/>
        <v>#REF!</v>
      </c>
      <c r="B626" s="296" t="s">
        <v>22</v>
      </c>
      <c r="C626" s="296" t="s">
        <v>729</v>
      </c>
      <c r="D626" s="297" t="s">
        <v>2</v>
      </c>
      <c r="E626" s="788"/>
      <c r="F626" s="738" t="e">
        <f>#REF!</f>
        <v>#REF!</v>
      </c>
      <c r="G626" s="738" t="e">
        <f>#REF!</f>
        <v>#REF!</v>
      </c>
      <c r="H626" s="738" t="e">
        <f>#REF!</f>
        <v>#REF!</v>
      </c>
      <c r="I626" s="739" t="e">
        <f t="shared" si="398"/>
        <v>#REF!</v>
      </c>
      <c r="J626" s="739" t="e">
        <f t="shared" si="399"/>
        <v>#REF!</v>
      </c>
      <c r="K626" s="740" t="e">
        <f t="shared" si="400"/>
        <v>#REF!</v>
      </c>
      <c r="L626" s="735" t="e">
        <f t="shared" si="395"/>
        <v>#REF!</v>
      </c>
      <c r="N626" s="741" t="e">
        <f t="shared" si="396"/>
        <v>#REF!</v>
      </c>
      <c r="O626" s="741" t="e">
        <f t="shared" si="397"/>
        <v>#REF!</v>
      </c>
    </row>
    <row r="627" spans="1:15" s="298" customFormat="1" ht="17.100000000000001" hidden="1" customHeight="1">
      <c r="A627" s="736" t="e">
        <f t="shared" si="391"/>
        <v>#REF!</v>
      </c>
      <c r="B627" s="296" t="s">
        <v>1554</v>
      </c>
      <c r="C627" s="296" t="s">
        <v>730</v>
      </c>
      <c r="D627" s="297" t="s">
        <v>2</v>
      </c>
      <c r="E627" s="788"/>
      <c r="F627" s="738" t="e">
        <f>#REF!</f>
        <v>#REF!</v>
      </c>
      <c r="G627" s="738" t="e">
        <f>#REF!</f>
        <v>#REF!</v>
      </c>
      <c r="H627" s="738" t="e">
        <f>#REF!</f>
        <v>#REF!</v>
      </c>
      <c r="I627" s="739" t="e">
        <f t="shared" si="398"/>
        <v>#REF!</v>
      </c>
      <c r="J627" s="739" t="e">
        <f t="shared" si="399"/>
        <v>#REF!</v>
      </c>
      <c r="K627" s="740" t="e">
        <f t="shared" si="400"/>
        <v>#REF!</v>
      </c>
      <c r="L627" s="735" t="e">
        <f t="shared" si="395"/>
        <v>#REF!</v>
      </c>
      <c r="N627" s="741" t="e">
        <f t="shared" si="396"/>
        <v>#REF!</v>
      </c>
      <c r="O627" s="741" t="e">
        <f t="shared" si="397"/>
        <v>#REF!</v>
      </c>
    </row>
    <row r="628" spans="1:15" s="298" customFormat="1" ht="17.100000000000001" hidden="1" customHeight="1">
      <c r="A628" s="736" t="e">
        <f t="shared" si="391"/>
        <v>#REF!</v>
      </c>
      <c r="B628" s="296" t="s">
        <v>1395</v>
      </c>
      <c r="C628" s="296" t="s">
        <v>731</v>
      </c>
      <c r="D628" s="297" t="s">
        <v>2</v>
      </c>
      <c r="E628" s="788"/>
      <c r="F628" s="738" t="e">
        <f>#REF!</f>
        <v>#REF!</v>
      </c>
      <c r="G628" s="738" t="e">
        <f>#REF!</f>
        <v>#REF!</v>
      </c>
      <c r="H628" s="738" t="e">
        <f>#REF!</f>
        <v>#REF!</v>
      </c>
      <c r="I628" s="739" t="e">
        <f t="shared" si="398"/>
        <v>#REF!</v>
      </c>
      <c r="J628" s="739" t="e">
        <f t="shared" si="399"/>
        <v>#REF!</v>
      </c>
      <c r="K628" s="740" t="e">
        <f t="shared" si="400"/>
        <v>#REF!</v>
      </c>
      <c r="L628" s="735" t="e">
        <f t="shared" si="395"/>
        <v>#REF!</v>
      </c>
      <c r="N628" s="741" t="e">
        <f t="shared" si="396"/>
        <v>#REF!</v>
      </c>
      <c r="O628" s="741" t="e">
        <f t="shared" si="397"/>
        <v>#REF!</v>
      </c>
    </row>
    <row r="629" spans="1:15" s="298" customFormat="1" ht="17.100000000000001" hidden="1" customHeight="1">
      <c r="A629" s="736" t="e">
        <f t="shared" si="391"/>
        <v>#REF!</v>
      </c>
      <c r="B629" s="296" t="s">
        <v>1567</v>
      </c>
      <c r="C629" s="296" t="s">
        <v>732</v>
      </c>
      <c r="D629" s="297" t="s">
        <v>2</v>
      </c>
      <c r="E629" s="788"/>
      <c r="F629" s="738" t="e">
        <f>#REF!</f>
        <v>#REF!</v>
      </c>
      <c r="G629" s="738" t="e">
        <f>#REF!</f>
        <v>#REF!</v>
      </c>
      <c r="H629" s="738" t="e">
        <f>#REF!</f>
        <v>#REF!</v>
      </c>
      <c r="I629" s="739" t="e">
        <f t="shared" si="398"/>
        <v>#REF!</v>
      </c>
      <c r="J629" s="739" t="e">
        <f t="shared" si="399"/>
        <v>#REF!</v>
      </c>
      <c r="K629" s="740" t="e">
        <f t="shared" si="400"/>
        <v>#REF!</v>
      </c>
      <c r="L629" s="735" t="e">
        <f t="shared" si="395"/>
        <v>#REF!</v>
      </c>
      <c r="N629" s="741" t="e">
        <f t="shared" si="396"/>
        <v>#REF!</v>
      </c>
      <c r="O629" s="741" t="e">
        <f t="shared" si="397"/>
        <v>#REF!</v>
      </c>
    </row>
    <row r="630" spans="1:15" s="298" customFormat="1" ht="17.100000000000001" hidden="1" customHeight="1">
      <c r="A630" s="736" t="e">
        <f t="shared" si="391"/>
        <v>#REF!</v>
      </c>
      <c r="B630" s="296" t="s">
        <v>84</v>
      </c>
      <c r="C630" s="296" t="s">
        <v>85</v>
      </c>
      <c r="D630" s="297" t="s">
        <v>9</v>
      </c>
      <c r="E630" s="788"/>
      <c r="F630" s="738" t="e">
        <f>#REF!</f>
        <v>#REF!</v>
      </c>
      <c r="G630" s="738" t="e">
        <f>#REF!</f>
        <v>#REF!</v>
      </c>
      <c r="H630" s="738" t="e">
        <f>#REF!</f>
        <v>#REF!</v>
      </c>
      <c r="I630" s="739" t="e">
        <f t="shared" si="398"/>
        <v>#REF!</v>
      </c>
      <c r="J630" s="739" t="e">
        <f t="shared" si="399"/>
        <v>#REF!</v>
      </c>
      <c r="K630" s="740" t="e">
        <f t="shared" si="400"/>
        <v>#REF!</v>
      </c>
      <c r="L630" s="735" t="e">
        <f t="shared" si="395"/>
        <v>#REF!</v>
      </c>
      <c r="N630" s="741" t="e">
        <f t="shared" si="396"/>
        <v>#REF!</v>
      </c>
      <c r="O630" s="741" t="e">
        <f t="shared" si="397"/>
        <v>#REF!</v>
      </c>
    </row>
    <row r="631" spans="1:15" s="298" customFormat="1" ht="17.100000000000001" hidden="1" customHeight="1">
      <c r="A631" s="736" t="e">
        <f t="shared" si="391"/>
        <v>#REF!</v>
      </c>
      <c r="B631" s="296" t="s">
        <v>0</v>
      </c>
      <c r="C631" s="737" t="s">
        <v>733</v>
      </c>
      <c r="D631" s="297" t="s">
        <v>0</v>
      </c>
      <c r="E631" s="788"/>
      <c r="F631" s="738"/>
      <c r="G631" s="738"/>
      <c r="H631" s="738"/>
      <c r="I631" s="739"/>
      <c r="J631" s="739"/>
      <c r="K631" s="740"/>
      <c r="L631" s="735">
        <f t="shared" si="395"/>
        <v>0</v>
      </c>
      <c r="N631" s="741">
        <f t="shared" si="396"/>
        <v>0</v>
      </c>
      <c r="O631" s="741">
        <f t="shared" si="397"/>
        <v>0</v>
      </c>
    </row>
    <row r="632" spans="1:15" s="298" customFormat="1" ht="17.100000000000001" hidden="1" customHeight="1">
      <c r="A632" s="736" t="e">
        <f t="shared" si="391"/>
        <v>#REF!</v>
      </c>
      <c r="B632" s="296" t="s">
        <v>692</v>
      </c>
      <c r="C632" s="296" t="s">
        <v>734</v>
      </c>
      <c r="D632" s="297" t="s">
        <v>2</v>
      </c>
      <c r="E632" s="788"/>
      <c r="F632" s="738"/>
      <c r="G632" s="738" t="e">
        <f>#REF!</f>
        <v>#REF!</v>
      </c>
      <c r="H632" s="738" t="e">
        <f>#REF!</f>
        <v>#REF!</v>
      </c>
      <c r="I632" s="739">
        <f t="shared" ref="I632:I647" si="401">E632*F632</f>
        <v>0</v>
      </c>
      <c r="J632" s="739" t="e">
        <f t="shared" ref="J632:J647" si="402">E632*G632</f>
        <v>#REF!</v>
      </c>
      <c r="K632" s="740" t="e">
        <f t="shared" ref="K632:K647" si="403">E632*H632</f>
        <v>#REF!</v>
      </c>
      <c r="L632" s="735" t="e">
        <f t="shared" si="395"/>
        <v>#REF!</v>
      </c>
      <c r="N632" s="741" t="e">
        <f t="shared" si="396"/>
        <v>#REF!</v>
      </c>
      <c r="O632" s="741" t="e">
        <f t="shared" si="397"/>
        <v>#REF!</v>
      </c>
    </row>
    <row r="633" spans="1:15" s="298" customFormat="1" ht="17.100000000000001" hidden="1" customHeight="1">
      <c r="A633" s="736" t="e">
        <f t="shared" si="391"/>
        <v>#REF!</v>
      </c>
      <c r="B633" s="296" t="s">
        <v>694</v>
      </c>
      <c r="C633" s="296" t="s">
        <v>735</v>
      </c>
      <c r="D633" s="297" t="s">
        <v>2</v>
      </c>
      <c r="E633" s="788"/>
      <c r="F633" s="738"/>
      <c r="G633" s="738" t="e">
        <f>#REF!</f>
        <v>#REF!</v>
      </c>
      <c r="H633" s="738"/>
      <c r="I633" s="739">
        <f t="shared" si="401"/>
        <v>0</v>
      </c>
      <c r="J633" s="739" t="e">
        <f t="shared" si="402"/>
        <v>#REF!</v>
      </c>
      <c r="K633" s="740">
        <f t="shared" si="403"/>
        <v>0</v>
      </c>
      <c r="L633" s="735" t="e">
        <f t="shared" si="395"/>
        <v>#REF!</v>
      </c>
      <c r="N633" s="741" t="e">
        <f t="shared" si="396"/>
        <v>#REF!</v>
      </c>
      <c r="O633" s="741" t="e">
        <f t="shared" si="397"/>
        <v>#REF!</v>
      </c>
    </row>
    <row r="634" spans="1:15" s="298" customFormat="1" ht="17.100000000000001" hidden="1" customHeight="1">
      <c r="A634" s="736" t="e">
        <f t="shared" si="391"/>
        <v>#REF!</v>
      </c>
      <c r="B634" s="296" t="s">
        <v>546</v>
      </c>
      <c r="C634" s="296" t="s">
        <v>736</v>
      </c>
      <c r="D634" s="297" t="s">
        <v>2</v>
      </c>
      <c r="E634" s="788"/>
      <c r="F634" s="738" t="e">
        <f>#REF!</f>
        <v>#REF!</v>
      </c>
      <c r="G634" s="738" t="e">
        <f>#REF!</f>
        <v>#REF!</v>
      </c>
      <c r="H634" s="738" t="e">
        <f>#REF!</f>
        <v>#REF!</v>
      </c>
      <c r="I634" s="739" t="e">
        <f t="shared" si="401"/>
        <v>#REF!</v>
      </c>
      <c r="J634" s="739" t="e">
        <f t="shared" si="402"/>
        <v>#REF!</v>
      </c>
      <c r="K634" s="740" t="e">
        <f t="shared" si="403"/>
        <v>#REF!</v>
      </c>
      <c r="L634" s="735" t="e">
        <f t="shared" si="395"/>
        <v>#REF!</v>
      </c>
      <c r="N634" s="741" t="e">
        <f t="shared" si="396"/>
        <v>#REF!</v>
      </c>
      <c r="O634" s="741" t="e">
        <f t="shared" si="397"/>
        <v>#REF!</v>
      </c>
    </row>
    <row r="635" spans="1:15" s="298" customFormat="1" ht="17.100000000000001" hidden="1" customHeight="1">
      <c r="A635" s="736" t="e">
        <f t="shared" si="391"/>
        <v>#REF!</v>
      </c>
      <c r="B635" s="296" t="s">
        <v>737</v>
      </c>
      <c r="C635" s="296" t="s">
        <v>738</v>
      </c>
      <c r="D635" s="297" t="s">
        <v>310</v>
      </c>
      <c r="E635" s="788"/>
      <c r="F635" s="738" t="e">
        <f>#REF!</f>
        <v>#REF!</v>
      </c>
      <c r="G635" s="738" t="e">
        <f>#REF!</f>
        <v>#REF!</v>
      </c>
      <c r="H635" s="738" t="e">
        <f>#REF!</f>
        <v>#REF!</v>
      </c>
      <c r="I635" s="739" t="e">
        <f t="shared" si="401"/>
        <v>#REF!</v>
      </c>
      <c r="J635" s="739" t="e">
        <f t="shared" si="402"/>
        <v>#REF!</v>
      </c>
      <c r="K635" s="740" t="e">
        <f t="shared" si="403"/>
        <v>#REF!</v>
      </c>
      <c r="L635" s="735" t="e">
        <f t="shared" si="395"/>
        <v>#REF!</v>
      </c>
      <c r="N635" s="741" t="e">
        <f t="shared" si="396"/>
        <v>#REF!</v>
      </c>
      <c r="O635" s="741" t="e">
        <f t="shared" si="397"/>
        <v>#REF!</v>
      </c>
    </row>
    <row r="636" spans="1:15" s="298" customFormat="1" ht="17.100000000000001" hidden="1" customHeight="1">
      <c r="A636" s="736" t="e">
        <f t="shared" si="391"/>
        <v>#REF!</v>
      </c>
      <c r="B636" s="296" t="s">
        <v>739</v>
      </c>
      <c r="C636" s="296" t="s">
        <v>740</v>
      </c>
      <c r="D636" s="297" t="s">
        <v>310</v>
      </c>
      <c r="E636" s="788"/>
      <c r="F636" s="738" t="e">
        <f>#REF!</f>
        <v>#REF!</v>
      </c>
      <c r="G636" s="738" t="e">
        <f>#REF!</f>
        <v>#REF!</v>
      </c>
      <c r="H636" s="738" t="e">
        <f>#REF!</f>
        <v>#REF!</v>
      </c>
      <c r="I636" s="739" t="e">
        <f t="shared" si="401"/>
        <v>#REF!</v>
      </c>
      <c r="J636" s="739" t="e">
        <f t="shared" si="402"/>
        <v>#REF!</v>
      </c>
      <c r="K636" s="740" t="e">
        <f t="shared" si="403"/>
        <v>#REF!</v>
      </c>
      <c r="L636" s="735" t="e">
        <f t="shared" si="395"/>
        <v>#REF!</v>
      </c>
      <c r="N636" s="741" t="e">
        <f t="shared" si="396"/>
        <v>#REF!</v>
      </c>
      <c r="O636" s="741" t="e">
        <f t="shared" si="397"/>
        <v>#REF!</v>
      </c>
    </row>
    <row r="637" spans="1:15" s="298" customFormat="1" ht="17.100000000000001" hidden="1" customHeight="1">
      <c r="A637" s="736" t="e">
        <f t="shared" si="391"/>
        <v>#REF!</v>
      </c>
      <c r="B637" s="296" t="s">
        <v>741</v>
      </c>
      <c r="C637" s="296" t="s">
        <v>742</v>
      </c>
      <c r="D637" s="297" t="s">
        <v>310</v>
      </c>
      <c r="E637" s="788"/>
      <c r="F637" s="738" t="e">
        <f>#REF!</f>
        <v>#REF!</v>
      </c>
      <c r="G637" s="738" t="e">
        <f>#REF!</f>
        <v>#REF!</v>
      </c>
      <c r="H637" s="738" t="e">
        <f>#REF!</f>
        <v>#REF!</v>
      </c>
      <c r="I637" s="739" t="e">
        <f t="shared" si="401"/>
        <v>#REF!</v>
      </c>
      <c r="J637" s="739" t="e">
        <f t="shared" si="402"/>
        <v>#REF!</v>
      </c>
      <c r="K637" s="740" t="e">
        <f t="shared" si="403"/>
        <v>#REF!</v>
      </c>
      <c r="L637" s="735" t="e">
        <f t="shared" si="395"/>
        <v>#REF!</v>
      </c>
      <c r="N637" s="741" t="e">
        <f t="shared" si="396"/>
        <v>#REF!</v>
      </c>
      <c r="O637" s="741" t="e">
        <f t="shared" si="397"/>
        <v>#REF!</v>
      </c>
    </row>
    <row r="638" spans="1:15" s="298" customFormat="1" ht="17.100000000000001" hidden="1" customHeight="1">
      <c r="A638" s="736" t="e">
        <f t="shared" si="391"/>
        <v>#REF!</v>
      </c>
      <c r="B638" s="296" t="s">
        <v>743</v>
      </c>
      <c r="C638" s="296" t="s">
        <v>744</v>
      </c>
      <c r="D638" s="297" t="s">
        <v>310</v>
      </c>
      <c r="E638" s="788"/>
      <c r="F638" s="738" t="e">
        <f>#REF!</f>
        <v>#REF!</v>
      </c>
      <c r="G638" s="738" t="e">
        <f>#REF!</f>
        <v>#REF!</v>
      </c>
      <c r="H638" s="738" t="e">
        <f>#REF!</f>
        <v>#REF!</v>
      </c>
      <c r="I638" s="739" t="e">
        <f t="shared" si="401"/>
        <v>#REF!</v>
      </c>
      <c r="J638" s="739" t="e">
        <f t="shared" si="402"/>
        <v>#REF!</v>
      </c>
      <c r="K638" s="740" t="e">
        <f t="shared" si="403"/>
        <v>#REF!</v>
      </c>
      <c r="L638" s="735" t="e">
        <f t="shared" si="395"/>
        <v>#REF!</v>
      </c>
      <c r="N638" s="741" t="e">
        <f t="shared" si="396"/>
        <v>#REF!</v>
      </c>
      <c r="O638" s="741" t="e">
        <f t="shared" si="397"/>
        <v>#REF!</v>
      </c>
    </row>
    <row r="639" spans="1:15" s="298" customFormat="1" ht="17.100000000000001" hidden="1" customHeight="1">
      <c r="A639" s="736" t="e">
        <f t="shared" si="391"/>
        <v>#REF!</v>
      </c>
      <c r="B639" s="296" t="s">
        <v>745</v>
      </c>
      <c r="C639" s="296" t="s">
        <v>746</v>
      </c>
      <c r="D639" s="297" t="s">
        <v>747</v>
      </c>
      <c r="E639" s="788"/>
      <c r="F639" s="738" t="e">
        <f>#REF!</f>
        <v>#REF!</v>
      </c>
      <c r="G639" s="738" t="e">
        <f>#REF!</f>
        <v>#REF!</v>
      </c>
      <c r="H639" s="738" t="e">
        <f>#REF!</f>
        <v>#REF!</v>
      </c>
      <c r="I639" s="739" t="e">
        <f t="shared" si="401"/>
        <v>#REF!</v>
      </c>
      <c r="J639" s="739" t="e">
        <f t="shared" si="402"/>
        <v>#REF!</v>
      </c>
      <c r="K639" s="740" t="e">
        <f t="shared" si="403"/>
        <v>#REF!</v>
      </c>
      <c r="L639" s="735" t="e">
        <f t="shared" si="395"/>
        <v>#REF!</v>
      </c>
      <c r="N639" s="741" t="e">
        <f t="shared" si="396"/>
        <v>#REF!</v>
      </c>
      <c r="O639" s="741" t="e">
        <f t="shared" si="397"/>
        <v>#REF!</v>
      </c>
    </row>
    <row r="640" spans="1:15" s="298" customFormat="1" ht="17.100000000000001" hidden="1" customHeight="1">
      <c r="A640" s="736" t="e">
        <f t="shared" si="391"/>
        <v>#REF!</v>
      </c>
      <c r="B640" s="296" t="s">
        <v>748</v>
      </c>
      <c r="C640" s="296" t="s">
        <v>749</v>
      </c>
      <c r="D640" s="297" t="s">
        <v>747</v>
      </c>
      <c r="E640" s="788"/>
      <c r="F640" s="738" t="e">
        <f>#REF!</f>
        <v>#REF!</v>
      </c>
      <c r="G640" s="738" t="e">
        <f>#REF!</f>
        <v>#REF!</v>
      </c>
      <c r="H640" s="738" t="e">
        <f>#REF!</f>
        <v>#REF!</v>
      </c>
      <c r="I640" s="739" t="e">
        <f t="shared" si="401"/>
        <v>#REF!</v>
      </c>
      <c r="J640" s="739" t="e">
        <f t="shared" si="402"/>
        <v>#REF!</v>
      </c>
      <c r="K640" s="740" t="e">
        <f t="shared" si="403"/>
        <v>#REF!</v>
      </c>
      <c r="L640" s="735" t="e">
        <f t="shared" si="395"/>
        <v>#REF!</v>
      </c>
      <c r="N640" s="741" t="e">
        <f t="shared" si="396"/>
        <v>#REF!</v>
      </c>
      <c r="O640" s="741" t="e">
        <f t="shared" si="397"/>
        <v>#REF!</v>
      </c>
    </row>
    <row r="641" spans="1:15" s="298" customFormat="1" ht="17.100000000000001" hidden="1" customHeight="1">
      <c r="A641" s="736" t="e">
        <f t="shared" si="391"/>
        <v>#REF!</v>
      </c>
      <c r="B641" s="296" t="s">
        <v>750</v>
      </c>
      <c r="C641" s="296" t="s">
        <v>751</v>
      </c>
      <c r="D641" s="297" t="s">
        <v>747</v>
      </c>
      <c r="E641" s="788"/>
      <c r="F641" s="738" t="e">
        <f>#REF!</f>
        <v>#REF!</v>
      </c>
      <c r="G641" s="738" t="e">
        <f>#REF!</f>
        <v>#REF!</v>
      </c>
      <c r="H641" s="738" t="e">
        <f>#REF!</f>
        <v>#REF!</v>
      </c>
      <c r="I641" s="739" t="e">
        <f t="shared" si="401"/>
        <v>#REF!</v>
      </c>
      <c r="J641" s="739" t="e">
        <f t="shared" si="402"/>
        <v>#REF!</v>
      </c>
      <c r="K641" s="740" t="e">
        <f t="shared" si="403"/>
        <v>#REF!</v>
      </c>
      <c r="L641" s="735" t="e">
        <f t="shared" si="395"/>
        <v>#REF!</v>
      </c>
      <c r="N641" s="741" t="e">
        <f t="shared" si="396"/>
        <v>#REF!</v>
      </c>
      <c r="O641" s="741" t="e">
        <f t="shared" si="397"/>
        <v>#REF!</v>
      </c>
    </row>
    <row r="642" spans="1:15" s="298" customFormat="1" ht="17.100000000000001" hidden="1" customHeight="1">
      <c r="A642" s="736" t="e">
        <f t="shared" si="391"/>
        <v>#REF!</v>
      </c>
      <c r="B642" s="296" t="s">
        <v>752</v>
      </c>
      <c r="C642" s="296" t="s">
        <v>753</v>
      </c>
      <c r="D642" s="297" t="s">
        <v>754</v>
      </c>
      <c r="E642" s="788"/>
      <c r="F642" s="738" t="e">
        <f>#REF!</f>
        <v>#REF!</v>
      </c>
      <c r="G642" s="738" t="e">
        <f>#REF!</f>
        <v>#REF!</v>
      </c>
      <c r="H642" s="738"/>
      <c r="I642" s="739" t="e">
        <f t="shared" si="401"/>
        <v>#REF!</v>
      </c>
      <c r="J642" s="739" t="e">
        <f t="shared" si="402"/>
        <v>#REF!</v>
      </c>
      <c r="K642" s="740">
        <f t="shared" si="403"/>
        <v>0</v>
      </c>
      <c r="L642" s="735" t="e">
        <f t="shared" si="395"/>
        <v>#REF!</v>
      </c>
      <c r="N642" s="741" t="e">
        <f t="shared" si="396"/>
        <v>#REF!</v>
      </c>
      <c r="O642" s="741" t="e">
        <f t="shared" si="397"/>
        <v>#REF!</v>
      </c>
    </row>
    <row r="643" spans="1:15" s="298" customFormat="1" ht="17.100000000000001" hidden="1" customHeight="1">
      <c r="A643" s="736" t="e">
        <f t="shared" si="391"/>
        <v>#REF!</v>
      </c>
      <c r="B643" s="296" t="s">
        <v>755</v>
      </c>
      <c r="C643" s="296" t="s">
        <v>756</v>
      </c>
      <c r="D643" s="297" t="s">
        <v>754</v>
      </c>
      <c r="E643" s="788"/>
      <c r="F643" s="738" t="e">
        <f>#REF!</f>
        <v>#REF!</v>
      </c>
      <c r="G643" s="738" t="e">
        <f>#REF!</f>
        <v>#REF!</v>
      </c>
      <c r="H643" s="738"/>
      <c r="I643" s="739" t="e">
        <f t="shared" si="401"/>
        <v>#REF!</v>
      </c>
      <c r="J643" s="739" t="e">
        <f t="shared" si="402"/>
        <v>#REF!</v>
      </c>
      <c r="K643" s="740">
        <f t="shared" si="403"/>
        <v>0</v>
      </c>
      <c r="L643" s="735" t="e">
        <f t="shared" si="395"/>
        <v>#REF!</v>
      </c>
      <c r="N643" s="741" t="e">
        <f t="shared" si="396"/>
        <v>#REF!</v>
      </c>
      <c r="O643" s="741" t="e">
        <f t="shared" si="397"/>
        <v>#REF!</v>
      </c>
    </row>
    <row r="644" spans="1:15" s="298" customFormat="1" ht="17.100000000000001" hidden="1" customHeight="1">
      <c r="A644" s="736" t="e">
        <f t="shared" si="391"/>
        <v>#REF!</v>
      </c>
      <c r="B644" s="296" t="s">
        <v>757</v>
      </c>
      <c r="C644" s="296" t="s">
        <v>758</v>
      </c>
      <c r="D644" s="297" t="s">
        <v>754</v>
      </c>
      <c r="E644" s="788"/>
      <c r="F644" s="738" t="e">
        <f>#REF!</f>
        <v>#REF!</v>
      </c>
      <c r="G644" s="738" t="e">
        <f>#REF!</f>
        <v>#REF!</v>
      </c>
      <c r="H644" s="738"/>
      <c r="I644" s="739" t="e">
        <f t="shared" si="401"/>
        <v>#REF!</v>
      </c>
      <c r="J644" s="739" t="e">
        <f t="shared" si="402"/>
        <v>#REF!</v>
      </c>
      <c r="K644" s="740">
        <f t="shared" si="403"/>
        <v>0</v>
      </c>
      <c r="L644" s="735" t="e">
        <f t="shared" si="395"/>
        <v>#REF!</v>
      </c>
      <c r="N644" s="741" t="e">
        <f t="shared" si="396"/>
        <v>#REF!</v>
      </c>
      <c r="O644" s="741" t="e">
        <f t="shared" si="397"/>
        <v>#REF!</v>
      </c>
    </row>
    <row r="645" spans="1:15" s="298" customFormat="1" ht="17.100000000000001" hidden="1" customHeight="1">
      <c r="A645" s="736" t="e">
        <f t="shared" si="391"/>
        <v>#REF!</v>
      </c>
      <c r="B645" s="296" t="s">
        <v>759</v>
      </c>
      <c r="C645" s="296" t="s">
        <v>760</v>
      </c>
      <c r="D645" s="297" t="s">
        <v>754</v>
      </c>
      <c r="E645" s="788"/>
      <c r="F645" s="738" t="e">
        <f>#REF!</f>
        <v>#REF!</v>
      </c>
      <c r="G645" s="738" t="e">
        <f>#REF!</f>
        <v>#REF!</v>
      </c>
      <c r="H645" s="738"/>
      <c r="I645" s="739" t="e">
        <f t="shared" si="401"/>
        <v>#REF!</v>
      </c>
      <c r="J645" s="739" t="e">
        <f t="shared" si="402"/>
        <v>#REF!</v>
      </c>
      <c r="K645" s="740">
        <f t="shared" si="403"/>
        <v>0</v>
      </c>
      <c r="L645" s="735" t="e">
        <f t="shared" si="395"/>
        <v>#REF!</v>
      </c>
      <c r="N645" s="741" t="e">
        <f t="shared" si="396"/>
        <v>#REF!</v>
      </c>
      <c r="O645" s="741" t="e">
        <f t="shared" si="397"/>
        <v>#REF!</v>
      </c>
    </row>
    <row r="646" spans="1:15" s="298" customFormat="1" ht="17.100000000000001" hidden="1" customHeight="1">
      <c r="A646" s="736" t="e">
        <f t="shared" si="391"/>
        <v>#REF!</v>
      </c>
      <c r="B646" s="296" t="s">
        <v>761</v>
      </c>
      <c r="C646" s="296" t="s">
        <v>762</v>
      </c>
      <c r="D646" s="297" t="s">
        <v>754</v>
      </c>
      <c r="E646" s="788"/>
      <c r="F646" s="738" t="e">
        <f>#REF!</f>
        <v>#REF!</v>
      </c>
      <c r="G646" s="738" t="e">
        <f>#REF!</f>
        <v>#REF!</v>
      </c>
      <c r="H646" s="738"/>
      <c r="I646" s="739" t="e">
        <f t="shared" si="401"/>
        <v>#REF!</v>
      </c>
      <c r="J646" s="739" t="e">
        <f t="shared" si="402"/>
        <v>#REF!</v>
      </c>
      <c r="K646" s="740">
        <f t="shared" si="403"/>
        <v>0</v>
      </c>
      <c r="L646" s="735" t="e">
        <f t="shared" si="395"/>
        <v>#REF!</v>
      </c>
      <c r="N646" s="741" t="e">
        <f t="shared" si="396"/>
        <v>#REF!</v>
      </c>
      <c r="O646" s="741" t="e">
        <f t="shared" si="397"/>
        <v>#REF!</v>
      </c>
    </row>
    <row r="647" spans="1:15" s="298" customFormat="1" ht="17.100000000000001" hidden="1" customHeight="1">
      <c r="A647" s="736" t="e">
        <f t="shared" si="391"/>
        <v>#REF!</v>
      </c>
      <c r="B647" s="296" t="s">
        <v>795</v>
      </c>
      <c r="C647" s="296" t="s">
        <v>763</v>
      </c>
      <c r="D647" s="297" t="s">
        <v>754</v>
      </c>
      <c r="E647" s="788"/>
      <c r="F647" s="738" t="e">
        <f>#REF!</f>
        <v>#REF!</v>
      </c>
      <c r="G647" s="738" t="e">
        <f>#REF!</f>
        <v>#REF!</v>
      </c>
      <c r="H647" s="738"/>
      <c r="I647" s="739" t="e">
        <f t="shared" si="401"/>
        <v>#REF!</v>
      </c>
      <c r="J647" s="739" t="e">
        <f t="shared" si="402"/>
        <v>#REF!</v>
      </c>
      <c r="K647" s="740">
        <f t="shared" si="403"/>
        <v>0</v>
      </c>
      <c r="L647" s="735" t="e">
        <f t="shared" si="395"/>
        <v>#REF!</v>
      </c>
      <c r="N647" s="741" t="e">
        <f t="shared" si="396"/>
        <v>#REF!</v>
      </c>
      <c r="O647" s="741" t="e">
        <f t="shared" si="397"/>
        <v>#REF!</v>
      </c>
    </row>
    <row r="648" spans="1:15" s="298" customFormat="1" ht="17.100000000000001" hidden="1" customHeight="1">
      <c r="A648" s="736" t="e">
        <f t="shared" si="391"/>
        <v>#REF!</v>
      </c>
      <c r="B648" s="744" t="s">
        <v>0</v>
      </c>
      <c r="C648" s="744" t="s">
        <v>0</v>
      </c>
      <c r="D648" s="745" t="s">
        <v>0</v>
      </c>
      <c r="E648" s="820"/>
      <c r="F648" s="746"/>
      <c r="G648" s="746"/>
      <c r="H648" s="746"/>
      <c r="I648" s="747"/>
      <c r="J648" s="747"/>
      <c r="K648" s="748"/>
      <c r="L648" s="735">
        <f t="shared" si="395"/>
        <v>0</v>
      </c>
      <c r="N648" s="741">
        <f t="shared" si="396"/>
        <v>0</v>
      </c>
      <c r="O648" s="741">
        <f t="shared" si="397"/>
        <v>0</v>
      </c>
    </row>
    <row r="649" spans="1:15" s="298" customFormat="1" ht="17.100000000000001" customHeight="1">
      <c r="A649" s="838" t="e">
        <f t="shared" si="391"/>
        <v>#REF!</v>
      </c>
      <c r="B649" s="730" t="s">
        <v>0</v>
      </c>
      <c r="C649" s="730" t="s">
        <v>1967</v>
      </c>
      <c r="D649" s="731"/>
      <c r="E649" s="819"/>
      <c r="F649" s="732"/>
      <c r="G649" s="732"/>
      <c r="H649" s="732"/>
      <c r="I649" s="733" t="e">
        <f>SUM(I650:I734)</f>
        <v>#REF!</v>
      </c>
      <c r="J649" s="733" t="e">
        <f>SUM(J650:J734)</f>
        <v>#REF!</v>
      </c>
      <c r="K649" s="734" t="e">
        <f>SUM(K650:K734)</f>
        <v>#REF!</v>
      </c>
      <c r="L649" s="735" t="e">
        <f t="shared" si="395"/>
        <v>#REF!</v>
      </c>
      <c r="N649" s="741">
        <f t="shared" si="396"/>
        <v>0</v>
      </c>
      <c r="O649" s="734" t="e">
        <f>SUM(O650:O734)</f>
        <v>#REF!</v>
      </c>
    </row>
    <row r="650" spans="1:15" s="298" customFormat="1" ht="17.100000000000001" customHeight="1">
      <c r="A650" s="838" t="e">
        <f t="shared" si="391"/>
        <v>#REF!</v>
      </c>
      <c r="B650" s="296" t="s">
        <v>1746</v>
      </c>
      <c r="C650" s="737" t="s">
        <v>780</v>
      </c>
      <c r="D650" s="297" t="s">
        <v>0</v>
      </c>
      <c r="E650" s="788"/>
      <c r="F650" s="738"/>
      <c r="G650" s="738"/>
      <c r="H650" s="738"/>
      <c r="I650" s="739"/>
      <c r="J650" s="739"/>
      <c r="K650" s="740"/>
      <c r="L650" s="735">
        <f t="shared" si="395"/>
        <v>1</v>
      </c>
      <c r="N650" s="741">
        <f t="shared" si="396"/>
        <v>0</v>
      </c>
      <c r="O650" s="741">
        <f t="shared" si="397"/>
        <v>0</v>
      </c>
    </row>
    <row r="651" spans="1:15" s="298" customFormat="1" ht="17.100000000000001" customHeight="1">
      <c r="A651" s="736" t="e">
        <f t="shared" si="391"/>
        <v>#REF!</v>
      </c>
      <c r="B651" s="296" t="s">
        <v>1573</v>
      </c>
      <c r="C651" s="296" t="s">
        <v>781</v>
      </c>
      <c r="D651" s="297" t="s">
        <v>667</v>
      </c>
      <c r="E651" s="788"/>
      <c r="F651" s="738" t="e">
        <f>#REF!</f>
        <v>#REF!</v>
      </c>
      <c r="G651" s="738" t="e">
        <f>#REF!</f>
        <v>#REF!</v>
      </c>
      <c r="H651" s="738" t="e">
        <f>#REF!</f>
        <v>#REF!</v>
      </c>
      <c r="I651" s="739" t="e">
        <f t="shared" ref="I651:I683" si="404">E651*F651</f>
        <v>#REF!</v>
      </c>
      <c r="J651" s="739" t="e">
        <f t="shared" ref="J651:J683" si="405">E651*G651</f>
        <v>#REF!</v>
      </c>
      <c r="K651" s="740" t="e">
        <f t="shared" ref="K651:K683" si="406">E651*H651</f>
        <v>#REF!</v>
      </c>
      <c r="L651" s="735" t="e">
        <f t="shared" si="395"/>
        <v>#REF!</v>
      </c>
      <c r="N651" s="741" t="e">
        <f t="shared" si="396"/>
        <v>#REF!</v>
      </c>
      <c r="O651" s="741" t="e">
        <f t="shared" si="397"/>
        <v>#REF!</v>
      </c>
    </row>
    <row r="652" spans="1:15" s="298" customFormat="1" ht="17.100000000000001" customHeight="1">
      <c r="A652" s="736" t="e">
        <f t="shared" ref="A652:A715" si="407">IF(SUM(F652:H652)&lt;&gt;0,A651+L652,A651)</f>
        <v>#REF!</v>
      </c>
      <c r="B652" s="296" t="s">
        <v>591</v>
      </c>
      <c r="C652" s="296" t="s">
        <v>782</v>
      </c>
      <c r="D652" s="297" t="s">
        <v>667</v>
      </c>
      <c r="E652" s="788"/>
      <c r="F652" s="738" t="e">
        <f>#REF!</f>
        <v>#REF!</v>
      </c>
      <c r="G652" s="738" t="e">
        <f>#REF!</f>
        <v>#REF!</v>
      </c>
      <c r="H652" s="738" t="e">
        <f>#REF!</f>
        <v>#REF!</v>
      </c>
      <c r="I652" s="739" t="e">
        <f t="shared" si="404"/>
        <v>#REF!</v>
      </c>
      <c r="J652" s="739" t="e">
        <f t="shared" si="405"/>
        <v>#REF!</v>
      </c>
      <c r="K652" s="740" t="e">
        <f t="shared" si="406"/>
        <v>#REF!</v>
      </c>
      <c r="L652" s="735" t="e">
        <f t="shared" si="395"/>
        <v>#REF!</v>
      </c>
      <c r="N652" s="741" t="e">
        <f t="shared" si="396"/>
        <v>#REF!</v>
      </c>
      <c r="O652" s="741" t="e">
        <f t="shared" si="397"/>
        <v>#REF!</v>
      </c>
    </row>
    <row r="653" spans="1:15" s="298" customFormat="1" ht="17.100000000000001" customHeight="1">
      <c r="A653" s="736" t="e">
        <f t="shared" si="407"/>
        <v>#REF!</v>
      </c>
      <c r="B653" s="296" t="s">
        <v>592</v>
      </c>
      <c r="C653" s="296" t="s">
        <v>593</v>
      </c>
      <c r="D653" s="297" t="s">
        <v>9</v>
      </c>
      <c r="E653" s="788"/>
      <c r="F653" s="738" t="e">
        <f>#REF!</f>
        <v>#REF!</v>
      </c>
      <c r="G653" s="738" t="e">
        <f>#REF!</f>
        <v>#REF!</v>
      </c>
      <c r="H653" s="738" t="e">
        <f>#REF!</f>
        <v>#REF!</v>
      </c>
      <c r="I653" s="739" t="e">
        <f t="shared" si="404"/>
        <v>#REF!</v>
      </c>
      <c r="J653" s="739" t="e">
        <f t="shared" si="405"/>
        <v>#REF!</v>
      </c>
      <c r="K653" s="740" t="e">
        <f t="shared" si="406"/>
        <v>#REF!</v>
      </c>
      <c r="L653" s="735" t="e">
        <f t="shared" si="395"/>
        <v>#REF!</v>
      </c>
      <c r="N653" s="741" t="e">
        <f t="shared" si="396"/>
        <v>#REF!</v>
      </c>
      <c r="O653" s="741" t="e">
        <f t="shared" si="397"/>
        <v>#REF!</v>
      </c>
    </row>
    <row r="654" spans="1:15" s="298" customFormat="1" ht="17.100000000000001" customHeight="1">
      <c r="A654" s="736" t="e">
        <f t="shared" si="407"/>
        <v>#REF!</v>
      </c>
      <c r="B654" s="296" t="s">
        <v>594</v>
      </c>
      <c r="C654" s="296" t="s">
        <v>783</v>
      </c>
      <c r="D654" s="297" t="s">
        <v>671</v>
      </c>
      <c r="E654" s="788"/>
      <c r="F654" s="738" t="e">
        <f>#REF!</f>
        <v>#REF!</v>
      </c>
      <c r="G654" s="738" t="e">
        <f>#REF!</f>
        <v>#REF!</v>
      </c>
      <c r="H654" s="738" t="e">
        <f>#REF!</f>
        <v>#REF!</v>
      </c>
      <c r="I654" s="739" t="e">
        <f t="shared" si="404"/>
        <v>#REF!</v>
      </c>
      <c r="J654" s="739" t="e">
        <f t="shared" si="405"/>
        <v>#REF!</v>
      </c>
      <c r="K654" s="740" t="e">
        <f t="shared" si="406"/>
        <v>#REF!</v>
      </c>
      <c r="L654" s="735" t="e">
        <f t="shared" si="395"/>
        <v>#REF!</v>
      </c>
      <c r="N654" s="741" t="e">
        <f t="shared" si="396"/>
        <v>#REF!</v>
      </c>
      <c r="O654" s="741" t="e">
        <f t="shared" si="397"/>
        <v>#REF!</v>
      </c>
    </row>
    <row r="655" spans="1:15" s="298" customFormat="1" ht="17.100000000000001" hidden="1" customHeight="1">
      <c r="A655" s="736" t="e">
        <f t="shared" si="407"/>
        <v>#REF!</v>
      </c>
      <c r="B655" s="296" t="s">
        <v>784</v>
      </c>
      <c r="C655" s="296" t="s">
        <v>785</v>
      </c>
      <c r="D655" s="297" t="s">
        <v>671</v>
      </c>
      <c r="E655" s="788"/>
      <c r="F655" s="738" t="e">
        <f>#REF!</f>
        <v>#REF!</v>
      </c>
      <c r="G655" s="738" t="e">
        <f>#REF!</f>
        <v>#REF!</v>
      </c>
      <c r="H655" s="738" t="e">
        <f>#REF!</f>
        <v>#REF!</v>
      </c>
      <c r="I655" s="739" t="e">
        <f t="shared" si="404"/>
        <v>#REF!</v>
      </c>
      <c r="J655" s="739" t="e">
        <f t="shared" si="405"/>
        <v>#REF!</v>
      </c>
      <c r="K655" s="740" t="e">
        <f t="shared" si="406"/>
        <v>#REF!</v>
      </c>
      <c r="L655" s="735" t="e">
        <f t="shared" si="395"/>
        <v>#REF!</v>
      </c>
      <c r="N655" s="741" t="e">
        <f t="shared" si="396"/>
        <v>#REF!</v>
      </c>
      <c r="O655" s="741" t="e">
        <f t="shared" si="397"/>
        <v>#REF!</v>
      </c>
    </row>
    <row r="656" spans="1:15" s="298" customFormat="1" ht="17.100000000000001" hidden="1" customHeight="1">
      <c r="A656" s="736" t="e">
        <f t="shared" si="407"/>
        <v>#REF!</v>
      </c>
      <c r="B656" s="296" t="s">
        <v>786</v>
      </c>
      <c r="C656" s="296" t="s">
        <v>787</v>
      </c>
      <c r="D656" s="297" t="s">
        <v>1757</v>
      </c>
      <c r="E656" s="788"/>
      <c r="F656" s="738" t="e">
        <f>#REF!</f>
        <v>#REF!</v>
      </c>
      <c r="G656" s="738" t="e">
        <f>#REF!</f>
        <v>#REF!</v>
      </c>
      <c r="H656" s="738" t="e">
        <f>#REF!</f>
        <v>#REF!</v>
      </c>
      <c r="I656" s="739" t="e">
        <f t="shared" si="404"/>
        <v>#REF!</v>
      </c>
      <c r="J656" s="739" t="e">
        <f t="shared" si="405"/>
        <v>#REF!</v>
      </c>
      <c r="K656" s="740" t="e">
        <f t="shared" si="406"/>
        <v>#REF!</v>
      </c>
      <c r="L656" s="735" t="e">
        <f t="shared" si="395"/>
        <v>#REF!</v>
      </c>
      <c r="N656" s="741" t="e">
        <f t="shared" si="396"/>
        <v>#REF!</v>
      </c>
      <c r="O656" s="741" t="e">
        <f t="shared" si="397"/>
        <v>#REF!</v>
      </c>
    </row>
    <row r="657" spans="1:15" s="298" customFormat="1" ht="17.100000000000001" hidden="1" customHeight="1">
      <c r="A657" s="736" t="e">
        <f t="shared" si="407"/>
        <v>#REF!</v>
      </c>
      <c r="B657" s="296" t="s">
        <v>788</v>
      </c>
      <c r="C657" s="296" t="s">
        <v>789</v>
      </c>
      <c r="D657" s="297" t="s">
        <v>1757</v>
      </c>
      <c r="E657" s="788"/>
      <c r="F657" s="738" t="e">
        <f>#REF!</f>
        <v>#REF!</v>
      </c>
      <c r="G657" s="738" t="e">
        <f>#REF!</f>
        <v>#REF!</v>
      </c>
      <c r="H657" s="738" t="e">
        <f>#REF!</f>
        <v>#REF!</v>
      </c>
      <c r="I657" s="739" t="e">
        <f t="shared" si="404"/>
        <v>#REF!</v>
      </c>
      <c r="J657" s="739" t="e">
        <f t="shared" si="405"/>
        <v>#REF!</v>
      </c>
      <c r="K657" s="740" t="e">
        <f t="shared" si="406"/>
        <v>#REF!</v>
      </c>
      <c r="L657" s="735" t="e">
        <f t="shared" si="395"/>
        <v>#REF!</v>
      </c>
      <c r="N657" s="741" t="e">
        <f t="shared" si="396"/>
        <v>#REF!</v>
      </c>
      <c r="O657" s="741" t="e">
        <f t="shared" si="397"/>
        <v>#REF!</v>
      </c>
    </row>
    <row r="658" spans="1:15" s="298" customFormat="1" ht="17.100000000000001" customHeight="1">
      <c r="A658" s="736" t="e">
        <f t="shared" si="407"/>
        <v>#REF!</v>
      </c>
      <c r="B658" s="296" t="s">
        <v>1850</v>
      </c>
      <c r="C658" s="296" t="s">
        <v>1945</v>
      </c>
      <c r="D658" s="297" t="s">
        <v>1757</v>
      </c>
      <c r="E658" s="788"/>
      <c r="F658" s="738"/>
      <c r="G658" s="738" t="e">
        <f>#REF!</f>
        <v>#REF!</v>
      </c>
      <c r="H658" s="738" t="e">
        <f>#REF!</f>
        <v>#REF!</v>
      </c>
      <c r="I658" s="739">
        <f t="shared" ref="I658" si="408">E658*F658</f>
        <v>0</v>
      </c>
      <c r="J658" s="739" t="e">
        <f t="shared" ref="J658" si="409">E658*G658</f>
        <v>#REF!</v>
      </c>
      <c r="K658" s="740" t="e">
        <f t="shared" ref="K658" si="410">E658*H658</f>
        <v>#REF!</v>
      </c>
      <c r="L658" s="735" t="e">
        <f t="shared" ref="L658" si="411">IF(OR(SUM(I658:K658)&lt;&gt;0,B658="*"),$L$5,0)</f>
        <v>#REF!</v>
      </c>
      <c r="N658" s="741" t="e">
        <f t="shared" ref="N658" si="412">SUM(F658:H658)*1.278</f>
        <v>#REF!</v>
      </c>
      <c r="O658" s="741" t="e">
        <f t="shared" ref="O658" si="413">N658*E658</f>
        <v>#REF!</v>
      </c>
    </row>
    <row r="659" spans="1:15" s="298" customFormat="1" ht="17.100000000000001" customHeight="1">
      <c r="A659" s="736" t="e">
        <f t="shared" si="407"/>
        <v>#REF!</v>
      </c>
      <c r="B659" s="296" t="s">
        <v>1946</v>
      </c>
      <c r="C659" s="296" t="s">
        <v>1947</v>
      </c>
      <c r="D659" s="297" t="s">
        <v>1757</v>
      </c>
      <c r="E659" s="788"/>
      <c r="F659" s="738"/>
      <c r="G659" s="738" t="e">
        <f>#REF!</f>
        <v>#REF!</v>
      </c>
      <c r="H659" s="738" t="e">
        <f>#REF!</f>
        <v>#REF!</v>
      </c>
      <c r="I659" s="739">
        <f t="shared" ref="I659:I660" si="414">E659*F659</f>
        <v>0</v>
      </c>
      <c r="J659" s="739" t="e">
        <f t="shared" ref="J659:J660" si="415">E659*G659</f>
        <v>#REF!</v>
      </c>
      <c r="K659" s="740" t="e">
        <f t="shared" ref="K659:K660" si="416">E659*H659</f>
        <v>#REF!</v>
      </c>
      <c r="L659" s="735" t="e">
        <f t="shared" ref="L659:L660" si="417">IF(OR(SUM(I659:K659)&lt;&gt;0,B659="*"),$L$5,0)</f>
        <v>#REF!</v>
      </c>
      <c r="N659" s="741" t="e">
        <f t="shared" ref="N659:N660" si="418">SUM(F659:H659)*1.278</f>
        <v>#REF!</v>
      </c>
      <c r="O659" s="741" t="e">
        <f t="shared" ref="O659:O660" si="419">N659*E659</f>
        <v>#REF!</v>
      </c>
    </row>
    <row r="660" spans="1:15" s="298" customFormat="1" ht="17.100000000000001" customHeight="1">
      <c r="A660" s="736" t="e">
        <f t="shared" si="407"/>
        <v>#REF!</v>
      </c>
      <c r="B660" s="296" t="s">
        <v>1949</v>
      </c>
      <c r="C660" s="296" t="s">
        <v>1948</v>
      </c>
      <c r="D660" s="297" t="s">
        <v>1757</v>
      </c>
      <c r="E660" s="788"/>
      <c r="F660" s="738"/>
      <c r="G660" s="738" t="e">
        <f>#REF!</f>
        <v>#REF!</v>
      </c>
      <c r="H660" s="738" t="e">
        <f>#REF!</f>
        <v>#REF!</v>
      </c>
      <c r="I660" s="739">
        <f t="shared" si="414"/>
        <v>0</v>
      </c>
      <c r="J660" s="739" t="e">
        <f t="shared" si="415"/>
        <v>#REF!</v>
      </c>
      <c r="K660" s="740" t="e">
        <f t="shared" si="416"/>
        <v>#REF!</v>
      </c>
      <c r="L660" s="735" t="e">
        <f t="shared" si="417"/>
        <v>#REF!</v>
      </c>
      <c r="N660" s="741" t="e">
        <f t="shared" si="418"/>
        <v>#REF!</v>
      </c>
      <c r="O660" s="741" t="e">
        <f t="shared" si="419"/>
        <v>#REF!</v>
      </c>
    </row>
    <row r="661" spans="1:15" s="298" customFormat="1" ht="17.100000000000001" hidden="1" customHeight="1">
      <c r="A661" s="736" t="e">
        <f t="shared" si="407"/>
        <v>#REF!</v>
      </c>
      <c r="B661" s="296" t="s">
        <v>1574</v>
      </c>
      <c r="C661" s="296" t="s">
        <v>1575</v>
      </c>
      <c r="D661" s="297" t="s">
        <v>1757</v>
      </c>
      <c r="E661" s="788"/>
      <c r="F661" s="738" t="e">
        <f>#REF!</f>
        <v>#REF!</v>
      </c>
      <c r="G661" s="738" t="e">
        <f>#REF!</f>
        <v>#REF!</v>
      </c>
      <c r="H661" s="738" t="e">
        <f>#REF!</f>
        <v>#REF!</v>
      </c>
      <c r="I661" s="739" t="e">
        <f t="shared" si="404"/>
        <v>#REF!</v>
      </c>
      <c r="J661" s="739" t="e">
        <f t="shared" si="405"/>
        <v>#REF!</v>
      </c>
      <c r="K661" s="740" t="e">
        <f t="shared" si="406"/>
        <v>#REF!</v>
      </c>
      <c r="L661" s="735" t="e">
        <f t="shared" si="395"/>
        <v>#REF!</v>
      </c>
      <c r="N661" s="741" t="e">
        <f t="shared" si="396"/>
        <v>#REF!</v>
      </c>
      <c r="O661" s="741" t="e">
        <f t="shared" si="397"/>
        <v>#REF!</v>
      </c>
    </row>
    <row r="662" spans="1:15" s="298" customFormat="1" ht="17.100000000000001" hidden="1" customHeight="1">
      <c r="A662" s="736" t="e">
        <f t="shared" si="407"/>
        <v>#REF!</v>
      </c>
      <c r="B662" s="296" t="s">
        <v>790</v>
      </c>
      <c r="C662" s="296" t="s">
        <v>791</v>
      </c>
      <c r="D662" s="297" t="s">
        <v>1757</v>
      </c>
      <c r="E662" s="788"/>
      <c r="F662" s="738" t="e">
        <f>#REF!</f>
        <v>#REF!</v>
      </c>
      <c r="G662" s="738" t="e">
        <f>#REF!</f>
        <v>#REF!</v>
      </c>
      <c r="H662" s="738" t="e">
        <f>#REF!</f>
        <v>#REF!</v>
      </c>
      <c r="I662" s="739" t="e">
        <f t="shared" si="404"/>
        <v>#REF!</v>
      </c>
      <c r="J662" s="739" t="e">
        <f t="shared" si="405"/>
        <v>#REF!</v>
      </c>
      <c r="K662" s="740" t="e">
        <f t="shared" si="406"/>
        <v>#REF!</v>
      </c>
      <c r="L662" s="735" t="e">
        <f t="shared" si="395"/>
        <v>#REF!</v>
      </c>
      <c r="N662" s="741" t="e">
        <f t="shared" si="396"/>
        <v>#REF!</v>
      </c>
      <c r="O662" s="741" t="e">
        <f t="shared" si="397"/>
        <v>#REF!</v>
      </c>
    </row>
    <row r="663" spans="1:15" s="298" customFormat="1" ht="17.100000000000001" hidden="1" customHeight="1">
      <c r="A663" s="736" t="e">
        <f t="shared" si="407"/>
        <v>#REF!</v>
      </c>
      <c r="B663" s="296" t="s">
        <v>750</v>
      </c>
      <c r="C663" s="296" t="s">
        <v>792</v>
      </c>
      <c r="D663" s="297" t="s">
        <v>1757</v>
      </c>
      <c r="E663" s="788"/>
      <c r="F663" s="738" t="e">
        <f>#REF!</f>
        <v>#REF!</v>
      </c>
      <c r="G663" s="738" t="e">
        <f>#REF!</f>
        <v>#REF!</v>
      </c>
      <c r="H663" s="738" t="e">
        <f>#REF!</f>
        <v>#REF!</v>
      </c>
      <c r="I663" s="739" t="e">
        <f t="shared" si="404"/>
        <v>#REF!</v>
      </c>
      <c r="J663" s="739" t="e">
        <f t="shared" si="405"/>
        <v>#REF!</v>
      </c>
      <c r="K663" s="740" t="e">
        <f t="shared" si="406"/>
        <v>#REF!</v>
      </c>
      <c r="L663" s="735" t="e">
        <f t="shared" si="395"/>
        <v>#REF!</v>
      </c>
      <c r="N663" s="741" t="e">
        <f t="shared" si="396"/>
        <v>#REF!</v>
      </c>
      <c r="O663" s="741" t="e">
        <f t="shared" si="397"/>
        <v>#REF!</v>
      </c>
    </row>
    <row r="664" spans="1:15" s="298" customFormat="1" ht="17.100000000000001" hidden="1" customHeight="1">
      <c r="A664" s="736" t="e">
        <f t="shared" si="407"/>
        <v>#REF!</v>
      </c>
      <c r="B664" s="296" t="s">
        <v>745</v>
      </c>
      <c r="C664" s="296" t="s">
        <v>1576</v>
      </c>
      <c r="D664" s="297" t="s">
        <v>1757</v>
      </c>
      <c r="E664" s="788"/>
      <c r="F664" s="738" t="e">
        <f>#REF!</f>
        <v>#REF!</v>
      </c>
      <c r="G664" s="738" t="e">
        <f>#REF!</f>
        <v>#REF!</v>
      </c>
      <c r="H664" s="738" t="e">
        <f>#REF!</f>
        <v>#REF!</v>
      </c>
      <c r="I664" s="739" t="e">
        <f t="shared" si="404"/>
        <v>#REF!</v>
      </c>
      <c r="J664" s="739" t="e">
        <f t="shared" si="405"/>
        <v>#REF!</v>
      </c>
      <c r="K664" s="740" t="e">
        <f t="shared" si="406"/>
        <v>#REF!</v>
      </c>
      <c r="L664" s="735" t="e">
        <f t="shared" si="395"/>
        <v>#REF!</v>
      </c>
      <c r="N664" s="741" t="e">
        <f t="shared" si="396"/>
        <v>#REF!</v>
      </c>
      <c r="O664" s="741" t="e">
        <f t="shared" si="397"/>
        <v>#REF!</v>
      </c>
    </row>
    <row r="665" spans="1:15" s="298" customFormat="1" ht="17.100000000000001" hidden="1" customHeight="1">
      <c r="A665" s="736" t="e">
        <f t="shared" si="407"/>
        <v>#REF!</v>
      </c>
      <c r="B665" s="296" t="s">
        <v>748</v>
      </c>
      <c r="C665" s="296" t="s">
        <v>1577</v>
      </c>
      <c r="D665" s="297" t="s">
        <v>1757</v>
      </c>
      <c r="E665" s="788"/>
      <c r="F665" s="738" t="e">
        <f>#REF!</f>
        <v>#REF!</v>
      </c>
      <c r="G665" s="738" t="e">
        <f>#REF!</f>
        <v>#REF!</v>
      </c>
      <c r="H665" s="738" t="e">
        <f>#REF!</f>
        <v>#REF!</v>
      </c>
      <c r="I665" s="739" t="e">
        <f t="shared" si="404"/>
        <v>#REF!</v>
      </c>
      <c r="J665" s="739" t="e">
        <f t="shared" si="405"/>
        <v>#REF!</v>
      </c>
      <c r="K665" s="740" t="e">
        <f t="shared" si="406"/>
        <v>#REF!</v>
      </c>
      <c r="L665" s="735" t="e">
        <f t="shared" si="395"/>
        <v>#REF!</v>
      </c>
      <c r="N665" s="741" t="e">
        <f t="shared" si="396"/>
        <v>#REF!</v>
      </c>
      <c r="O665" s="741" t="e">
        <f t="shared" si="397"/>
        <v>#REF!</v>
      </c>
    </row>
    <row r="666" spans="1:15" s="298" customFormat="1" ht="17.100000000000001" hidden="1" customHeight="1">
      <c r="A666" s="736" t="e">
        <f t="shared" si="407"/>
        <v>#REF!</v>
      </c>
      <c r="B666" s="296" t="s">
        <v>793</v>
      </c>
      <c r="C666" s="296" t="s">
        <v>794</v>
      </c>
      <c r="D666" s="297" t="s">
        <v>754</v>
      </c>
      <c r="E666" s="788"/>
      <c r="F666" s="738" t="e">
        <f>#REF!</f>
        <v>#REF!</v>
      </c>
      <c r="G666" s="738" t="e">
        <f>#REF!</f>
        <v>#REF!</v>
      </c>
      <c r="H666" s="738"/>
      <c r="I666" s="739" t="e">
        <f t="shared" si="404"/>
        <v>#REF!</v>
      </c>
      <c r="J666" s="739" t="e">
        <f t="shared" si="405"/>
        <v>#REF!</v>
      </c>
      <c r="K666" s="740">
        <f t="shared" si="406"/>
        <v>0</v>
      </c>
      <c r="L666" s="735" t="e">
        <f t="shared" si="395"/>
        <v>#REF!</v>
      </c>
      <c r="N666" s="741" t="e">
        <f t="shared" si="396"/>
        <v>#REF!</v>
      </c>
      <c r="O666" s="741" t="e">
        <f t="shared" si="397"/>
        <v>#REF!</v>
      </c>
    </row>
    <row r="667" spans="1:15" s="298" customFormat="1" ht="17.100000000000001" hidden="1" customHeight="1">
      <c r="A667" s="736" t="e">
        <f t="shared" si="407"/>
        <v>#REF!</v>
      </c>
      <c r="B667" s="296" t="s">
        <v>752</v>
      </c>
      <c r="C667" s="296" t="s">
        <v>753</v>
      </c>
      <c r="D667" s="297" t="s">
        <v>754</v>
      </c>
      <c r="E667" s="788"/>
      <c r="F667" s="738" t="e">
        <f>#REF!</f>
        <v>#REF!</v>
      </c>
      <c r="G667" s="738" t="e">
        <f>#REF!</f>
        <v>#REF!</v>
      </c>
      <c r="H667" s="738"/>
      <c r="I667" s="739" t="e">
        <f t="shared" si="404"/>
        <v>#REF!</v>
      </c>
      <c r="J667" s="739" t="e">
        <f t="shared" si="405"/>
        <v>#REF!</v>
      </c>
      <c r="K667" s="740">
        <f t="shared" si="406"/>
        <v>0</v>
      </c>
      <c r="L667" s="735" t="e">
        <f t="shared" si="395"/>
        <v>#REF!</v>
      </c>
      <c r="N667" s="741" t="e">
        <f t="shared" si="396"/>
        <v>#REF!</v>
      </c>
      <c r="O667" s="741" t="e">
        <f t="shared" si="397"/>
        <v>#REF!</v>
      </c>
    </row>
    <row r="668" spans="1:15" s="298" customFormat="1" ht="17.100000000000001" hidden="1" customHeight="1">
      <c r="A668" s="736" t="e">
        <f t="shared" si="407"/>
        <v>#REF!</v>
      </c>
      <c r="B668" s="296" t="s">
        <v>755</v>
      </c>
      <c r="C668" s="296" t="s">
        <v>756</v>
      </c>
      <c r="D668" s="297" t="s">
        <v>754</v>
      </c>
      <c r="E668" s="788"/>
      <c r="F668" s="738" t="e">
        <f>#REF!</f>
        <v>#REF!</v>
      </c>
      <c r="G668" s="738" t="e">
        <f>#REF!</f>
        <v>#REF!</v>
      </c>
      <c r="H668" s="738"/>
      <c r="I668" s="739" t="e">
        <f t="shared" si="404"/>
        <v>#REF!</v>
      </c>
      <c r="J668" s="739" t="e">
        <f t="shared" si="405"/>
        <v>#REF!</v>
      </c>
      <c r="K668" s="740">
        <f t="shared" si="406"/>
        <v>0</v>
      </c>
      <c r="L668" s="735" t="e">
        <f t="shared" si="395"/>
        <v>#REF!</v>
      </c>
      <c r="N668" s="741" t="e">
        <f t="shared" si="396"/>
        <v>#REF!</v>
      </c>
      <c r="O668" s="741" t="e">
        <f t="shared" si="397"/>
        <v>#REF!</v>
      </c>
    </row>
    <row r="669" spans="1:15" s="298" customFormat="1" ht="17.100000000000001" hidden="1" customHeight="1">
      <c r="A669" s="736" t="e">
        <f t="shared" si="407"/>
        <v>#REF!</v>
      </c>
      <c r="B669" s="296" t="s">
        <v>757</v>
      </c>
      <c r="C669" s="296" t="s">
        <v>758</v>
      </c>
      <c r="D669" s="297" t="s">
        <v>754</v>
      </c>
      <c r="E669" s="788"/>
      <c r="F669" s="738" t="e">
        <f>#REF!</f>
        <v>#REF!</v>
      </c>
      <c r="G669" s="738" t="e">
        <f>#REF!</f>
        <v>#REF!</v>
      </c>
      <c r="H669" s="738"/>
      <c r="I669" s="739" t="e">
        <f t="shared" si="404"/>
        <v>#REF!</v>
      </c>
      <c r="J669" s="739" t="e">
        <f t="shared" si="405"/>
        <v>#REF!</v>
      </c>
      <c r="K669" s="740">
        <f t="shared" si="406"/>
        <v>0</v>
      </c>
      <c r="L669" s="735" t="e">
        <f t="shared" si="395"/>
        <v>#REF!</v>
      </c>
      <c r="N669" s="741" t="e">
        <f t="shared" si="396"/>
        <v>#REF!</v>
      </c>
      <c r="O669" s="741" t="e">
        <f t="shared" si="397"/>
        <v>#REF!</v>
      </c>
    </row>
    <row r="670" spans="1:15" s="298" customFormat="1" ht="17.100000000000001" hidden="1" customHeight="1">
      <c r="A670" s="736" t="e">
        <f t="shared" si="407"/>
        <v>#REF!</v>
      </c>
      <c r="B670" s="296" t="s">
        <v>793</v>
      </c>
      <c r="C670" s="296" t="s">
        <v>1578</v>
      </c>
      <c r="D670" s="297" t="s">
        <v>754</v>
      </c>
      <c r="E670" s="788"/>
      <c r="F670" s="738" t="e">
        <f>#REF!</f>
        <v>#REF!</v>
      </c>
      <c r="G670" s="738" t="e">
        <f>#REF!</f>
        <v>#REF!</v>
      </c>
      <c r="H670" s="738"/>
      <c r="I670" s="739" t="e">
        <f t="shared" si="404"/>
        <v>#REF!</v>
      </c>
      <c r="J670" s="739" t="e">
        <f t="shared" si="405"/>
        <v>#REF!</v>
      </c>
      <c r="K670" s="740">
        <f t="shared" si="406"/>
        <v>0</v>
      </c>
      <c r="L670" s="735" t="e">
        <f t="shared" si="395"/>
        <v>#REF!</v>
      </c>
      <c r="N670" s="741" t="e">
        <f t="shared" si="396"/>
        <v>#REF!</v>
      </c>
      <c r="O670" s="741" t="e">
        <f t="shared" si="397"/>
        <v>#REF!</v>
      </c>
    </row>
    <row r="671" spans="1:15" s="298" customFormat="1" ht="17.100000000000001" hidden="1" customHeight="1">
      <c r="A671" s="736" t="e">
        <f t="shared" si="407"/>
        <v>#REF!</v>
      </c>
      <c r="B671" s="296" t="s">
        <v>759</v>
      </c>
      <c r="C671" s="296" t="s">
        <v>760</v>
      </c>
      <c r="D671" s="297" t="s">
        <v>754</v>
      </c>
      <c r="E671" s="788"/>
      <c r="F671" s="738" t="e">
        <f>#REF!</f>
        <v>#REF!</v>
      </c>
      <c r="G671" s="738" t="e">
        <f>#REF!</f>
        <v>#REF!</v>
      </c>
      <c r="H671" s="738"/>
      <c r="I671" s="739" t="e">
        <f t="shared" si="404"/>
        <v>#REF!</v>
      </c>
      <c r="J671" s="739" t="e">
        <f t="shared" si="405"/>
        <v>#REF!</v>
      </c>
      <c r="K671" s="740">
        <f t="shared" si="406"/>
        <v>0</v>
      </c>
      <c r="L671" s="735" t="e">
        <f t="shared" si="395"/>
        <v>#REF!</v>
      </c>
      <c r="N671" s="741" t="e">
        <f t="shared" si="396"/>
        <v>#REF!</v>
      </c>
      <c r="O671" s="741" t="e">
        <f t="shared" si="397"/>
        <v>#REF!</v>
      </c>
    </row>
    <row r="672" spans="1:15" s="298" customFormat="1" ht="17.100000000000001" hidden="1" customHeight="1">
      <c r="A672" s="736" t="e">
        <f t="shared" si="407"/>
        <v>#REF!</v>
      </c>
      <c r="B672" s="296" t="s">
        <v>761</v>
      </c>
      <c r="C672" s="296" t="s">
        <v>1579</v>
      </c>
      <c r="D672" s="297" t="s">
        <v>754</v>
      </c>
      <c r="E672" s="788"/>
      <c r="F672" s="738" t="e">
        <f>#REF!</f>
        <v>#REF!</v>
      </c>
      <c r="G672" s="738" t="e">
        <f>#REF!</f>
        <v>#REF!</v>
      </c>
      <c r="H672" s="738"/>
      <c r="I672" s="739" t="e">
        <f t="shared" si="404"/>
        <v>#REF!</v>
      </c>
      <c r="J672" s="739" t="e">
        <f t="shared" si="405"/>
        <v>#REF!</v>
      </c>
      <c r="K672" s="740">
        <f t="shared" si="406"/>
        <v>0</v>
      </c>
      <c r="L672" s="735" t="e">
        <f t="shared" si="395"/>
        <v>#REF!</v>
      </c>
      <c r="N672" s="741" t="e">
        <f t="shared" si="396"/>
        <v>#REF!</v>
      </c>
      <c r="O672" s="741" t="e">
        <f t="shared" si="397"/>
        <v>#REF!</v>
      </c>
    </row>
    <row r="673" spans="1:17" s="298" customFormat="1" ht="17.100000000000001" hidden="1" customHeight="1">
      <c r="A673" s="736" t="e">
        <f t="shared" si="407"/>
        <v>#REF!</v>
      </c>
      <c r="B673" s="296" t="s">
        <v>795</v>
      </c>
      <c r="C673" s="296" t="s">
        <v>763</v>
      </c>
      <c r="D673" s="297" t="s">
        <v>754</v>
      </c>
      <c r="E673" s="788"/>
      <c r="F673" s="738" t="e">
        <f>#REF!</f>
        <v>#REF!</v>
      </c>
      <c r="G673" s="738" t="e">
        <f>#REF!</f>
        <v>#REF!</v>
      </c>
      <c r="H673" s="738"/>
      <c r="I673" s="739" t="e">
        <f t="shared" si="404"/>
        <v>#REF!</v>
      </c>
      <c r="J673" s="739" t="e">
        <f t="shared" si="405"/>
        <v>#REF!</v>
      </c>
      <c r="K673" s="740">
        <f t="shared" si="406"/>
        <v>0</v>
      </c>
      <c r="L673" s="735" t="e">
        <f t="shared" si="395"/>
        <v>#REF!</v>
      </c>
      <c r="N673" s="741" t="e">
        <f t="shared" si="396"/>
        <v>#REF!</v>
      </c>
      <c r="O673" s="741" t="e">
        <f t="shared" si="397"/>
        <v>#REF!</v>
      </c>
    </row>
    <row r="674" spans="1:17" s="1072" customFormat="1" ht="16.899999999999999" customHeight="1">
      <c r="A674" s="736" t="e">
        <f t="shared" si="407"/>
        <v>#REF!</v>
      </c>
      <c r="B674" s="1066" t="s">
        <v>598</v>
      </c>
      <c r="C674" s="1066" t="s">
        <v>1991</v>
      </c>
      <c r="D674" s="1067" t="s">
        <v>2</v>
      </c>
      <c r="E674" s="1068"/>
      <c r="F674" s="1069" t="e">
        <f>#REF!</f>
        <v>#REF!</v>
      </c>
      <c r="G674" s="1069"/>
      <c r="H674" s="1069"/>
      <c r="I674" s="739" t="e">
        <f t="shared" si="404"/>
        <v>#REF!</v>
      </c>
      <c r="J674" s="739">
        <f t="shared" si="405"/>
        <v>0</v>
      </c>
      <c r="K674" s="740">
        <f t="shared" si="406"/>
        <v>0</v>
      </c>
      <c r="L674" s="735" t="e">
        <f t="shared" si="395"/>
        <v>#REF!</v>
      </c>
      <c r="M674" s="1073"/>
      <c r="N674" s="741" t="e">
        <f t="shared" ref="N674" si="420">SUM(F674:H674)*1.278</f>
        <v>#REF!</v>
      </c>
      <c r="O674" s="741" t="e">
        <f t="shared" si="397"/>
        <v>#REF!</v>
      </c>
    </row>
    <row r="675" spans="1:17" s="1072" customFormat="1" ht="16.899999999999999" hidden="1" customHeight="1">
      <c r="A675" s="736" t="e">
        <f t="shared" si="407"/>
        <v>#REF!</v>
      </c>
      <c r="B675" s="1066" t="s">
        <v>1851</v>
      </c>
      <c r="C675" s="1066" t="s">
        <v>1852</v>
      </c>
      <c r="D675" s="1067" t="s">
        <v>9</v>
      </c>
      <c r="E675" s="1068"/>
      <c r="F675" s="1069" t="e">
        <f>#REF!</f>
        <v>#REF!</v>
      </c>
      <c r="G675" s="1069" t="e">
        <f>#REF!</f>
        <v>#REF!</v>
      </c>
      <c r="H675" s="1069"/>
      <c r="I675" s="1070" t="e">
        <f t="shared" si="404"/>
        <v>#REF!</v>
      </c>
      <c r="J675" s="1070" t="e">
        <f t="shared" si="405"/>
        <v>#REF!</v>
      </c>
      <c r="K675" s="1071">
        <f t="shared" si="406"/>
        <v>0</v>
      </c>
      <c r="L675" s="735" t="e">
        <f t="shared" si="395"/>
        <v>#REF!</v>
      </c>
      <c r="M675" s="1073"/>
      <c r="N675" s="741" t="e">
        <f t="shared" si="396"/>
        <v>#REF!</v>
      </c>
      <c r="O675" s="741" t="e">
        <f t="shared" si="397"/>
        <v>#REF!</v>
      </c>
      <c r="Q675" s="1072">
        <f t="shared" ref="Q675:Q676" si="421">E675*1.15</f>
        <v>0</v>
      </c>
    </row>
    <row r="676" spans="1:17" s="1072" customFormat="1" ht="16.899999999999999" customHeight="1">
      <c r="A676" s="736" t="e">
        <f t="shared" si="407"/>
        <v>#REF!</v>
      </c>
      <c r="B676" s="1066" t="s">
        <v>1853</v>
      </c>
      <c r="C676" s="1066" t="s">
        <v>1854</v>
      </c>
      <c r="D676" s="1067" t="s">
        <v>9</v>
      </c>
      <c r="E676" s="1068"/>
      <c r="F676" s="1069" t="e">
        <f>#REF!</f>
        <v>#REF!</v>
      </c>
      <c r="G676" s="1069" t="e">
        <f>#REF!</f>
        <v>#REF!</v>
      </c>
      <c r="H676" s="1069"/>
      <c r="I676" s="739" t="e">
        <f t="shared" ref="I676:I682" si="422">E676*F676</f>
        <v>#REF!</v>
      </c>
      <c r="J676" s="739" t="e">
        <f t="shared" ref="J676:J682" si="423">E676*G676</f>
        <v>#REF!</v>
      </c>
      <c r="K676" s="740">
        <f t="shared" ref="K676:K682" si="424">E676*H676</f>
        <v>0</v>
      </c>
      <c r="L676" s="735" t="e">
        <f t="shared" si="395"/>
        <v>#REF!</v>
      </c>
      <c r="M676" s="1073"/>
      <c r="N676" s="741" t="e">
        <f t="shared" si="396"/>
        <v>#REF!</v>
      </c>
      <c r="O676" s="741" t="e">
        <f t="shared" si="397"/>
        <v>#REF!</v>
      </c>
      <c r="Q676" s="1072">
        <f t="shared" si="421"/>
        <v>0</v>
      </c>
    </row>
    <row r="677" spans="1:17" s="298" customFormat="1" ht="17.100000000000001" customHeight="1">
      <c r="A677" s="736" t="e">
        <f t="shared" si="407"/>
        <v>#REF!</v>
      </c>
      <c r="B677" s="296" t="s">
        <v>1585</v>
      </c>
      <c r="C677" s="296" t="s">
        <v>1987</v>
      </c>
      <c r="D677" s="297" t="s">
        <v>2</v>
      </c>
      <c r="E677" s="788"/>
      <c r="F677" s="738" t="e">
        <f>#REF!</f>
        <v>#REF!</v>
      </c>
      <c r="G677" s="738" t="e">
        <f>#REF!</f>
        <v>#REF!</v>
      </c>
      <c r="H677" s="738" t="e">
        <f>#REF!</f>
        <v>#REF!</v>
      </c>
      <c r="I677" s="739" t="e">
        <f t="shared" si="422"/>
        <v>#REF!</v>
      </c>
      <c r="J677" s="739" t="e">
        <f t="shared" si="423"/>
        <v>#REF!</v>
      </c>
      <c r="K677" s="740" t="e">
        <f t="shared" si="424"/>
        <v>#REF!</v>
      </c>
      <c r="L677" s="735" t="e">
        <f t="shared" si="395"/>
        <v>#REF!</v>
      </c>
      <c r="N677" s="741" t="e">
        <f t="shared" si="396"/>
        <v>#REF!</v>
      </c>
      <c r="O677" s="741" t="e">
        <f t="shared" si="397"/>
        <v>#REF!</v>
      </c>
    </row>
    <row r="678" spans="1:17" s="298" customFormat="1" ht="17.100000000000001" customHeight="1">
      <c r="A678" s="736" t="e">
        <f t="shared" si="407"/>
        <v>#REF!</v>
      </c>
      <c r="B678" s="296" t="s">
        <v>62</v>
      </c>
      <c r="C678" s="296" t="s">
        <v>1988</v>
      </c>
      <c r="D678" s="297" t="s">
        <v>59</v>
      </c>
      <c r="E678" s="788"/>
      <c r="F678" s="738" t="e">
        <f>#REF!</f>
        <v>#REF!</v>
      </c>
      <c r="G678" s="738" t="e">
        <f>#REF!</f>
        <v>#REF!</v>
      </c>
      <c r="H678" s="738" t="e">
        <f>#REF!</f>
        <v>#REF!</v>
      </c>
      <c r="I678" s="739" t="e">
        <f t="shared" si="422"/>
        <v>#REF!</v>
      </c>
      <c r="J678" s="739" t="e">
        <f t="shared" si="423"/>
        <v>#REF!</v>
      </c>
      <c r="K678" s="740" t="e">
        <f t="shared" si="424"/>
        <v>#REF!</v>
      </c>
      <c r="L678" s="735" t="e">
        <f t="shared" si="395"/>
        <v>#REF!</v>
      </c>
      <c r="N678" s="741" t="e">
        <f t="shared" si="396"/>
        <v>#REF!</v>
      </c>
      <c r="O678" s="741" t="e">
        <f t="shared" si="397"/>
        <v>#REF!</v>
      </c>
    </row>
    <row r="679" spans="1:17" s="298" customFormat="1" ht="17.100000000000001" hidden="1" customHeight="1">
      <c r="A679" s="736" t="e">
        <f t="shared" si="407"/>
        <v>#REF!</v>
      </c>
      <c r="B679" s="296" t="s">
        <v>795</v>
      </c>
      <c r="C679" s="296" t="s">
        <v>1844</v>
      </c>
      <c r="D679" s="297" t="s">
        <v>754</v>
      </c>
      <c r="E679" s="788"/>
      <c r="F679" s="738" t="e">
        <f>#REF!</f>
        <v>#REF!</v>
      </c>
      <c r="G679" s="738" t="e">
        <f>#REF!</f>
        <v>#REF!</v>
      </c>
      <c r="H679" s="738"/>
      <c r="I679" s="739" t="e">
        <f t="shared" si="422"/>
        <v>#REF!</v>
      </c>
      <c r="J679" s="739" t="e">
        <f t="shared" si="423"/>
        <v>#REF!</v>
      </c>
      <c r="K679" s="740">
        <f t="shared" si="424"/>
        <v>0</v>
      </c>
      <c r="L679" s="735" t="e">
        <f t="shared" si="395"/>
        <v>#REF!</v>
      </c>
      <c r="N679" s="741" t="e">
        <f t="shared" si="396"/>
        <v>#REF!</v>
      </c>
      <c r="O679" s="741" t="e">
        <f t="shared" si="397"/>
        <v>#REF!</v>
      </c>
    </row>
    <row r="680" spans="1:17" s="298" customFormat="1" ht="17.100000000000001" customHeight="1">
      <c r="A680" s="736" t="e">
        <f t="shared" si="407"/>
        <v>#REF!</v>
      </c>
      <c r="B680" s="296" t="s">
        <v>1395</v>
      </c>
      <c r="C680" s="296" t="s">
        <v>796</v>
      </c>
      <c r="D680" s="297" t="s">
        <v>1590</v>
      </c>
      <c r="E680" s="788"/>
      <c r="F680" s="738" t="e">
        <f>#REF!</f>
        <v>#REF!</v>
      </c>
      <c r="G680" s="738" t="e">
        <f>#REF!</f>
        <v>#REF!</v>
      </c>
      <c r="H680" s="738" t="e">
        <f>#REF!</f>
        <v>#REF!</v>
      </c>
      <c r="I680" s="739" t="e">
        <f t="shared" si="422"/>
        <v>#REF!</v>
      </c>
      <c r="J680" s="739" t="e">
        <f t="shared" si="423"/>
        <v>#REF!</v>
      </c>
      <c r="K680" s="740" t="e">
        <f t="shared" si="424"/>
        <v>#REF!</v>
      </c>
      <c r="L680" s="735" t="e">
        <f t="shared" si="395"/>
        <v>#REF!</v>
      </c>
      <c r="N680" s="741" t="e">
        <f t="shared" si="396"/>
        <v>#REF!</v>
      </c>
      <c r="O680" s="741" t="e">
        <f t="shared" si="397"/>
        <v>#REF!</v>
      </c>
    </row>
    <row r="681" spans="1:17" s="298" customFormat="1" ht="17.100000000000001" customHeight="1">
      <c r="A681" s="736" t="e">
        <f t="shared" si="407"/>
        <v>#REF!</v>
      </c>
      <c r="B681" s="296" t="s">
        <v>84</v>
      </c>
      <c r="C681" s="296" t="s">
        <v>85</v>
      </c>
      <c r="D681" s="297" t="s">
        <v>1841</v>
      </c>
      <c r="E681" s="788"/>
      <c r="F681" s="738" t="e">
        <f>#REF!</f>
        <v>#REF!</v>
      </c>
      <c r="G681" s="738" t="e">
        <f>#REF!</f>
        <v>#REF!</v>
      </c>
      <c r="H681" s="738" t="e">
        <f>#REF!</f>
        <v>#REF!</v>
      </c>
      <c r="I681" s="739" t="e">
        <f t="shared" si="422"/>
        <v>#REF!</v>
      </c>
      <c r="J681" s="739" t="e">
        <f t="shared" si="423"/>
        <v>#REF!</v>
      </c>
      <c r="K681" s="740" t="e">
        <f t="shared" si="424"/>
        <v>#REF!</v>
      </c>
      <c r="L681" s="735" t="e">
        <f t="shared" si="395"/>
        <v>#REF!</v>
      </c>
      <c r="N681" s="741" t="e">
        <f t="shared" si="396"/>
        <v>#REF!</v>
      </c>
      <c r="O681" s="741" t="e">
        <f t="shared" si="397"/>
        <v>#REF!</v>
      </c>
    </row>
    <row r="682" spans="1:17" s="298" customFormat="1" ht="17.100000000000001" customHeight="1">
      <c r="A682" s="736" t="e">
        <f t="shared" si="407"/>
        <v>#REF!</v>
      </c>
      <c r="B682" s="296" t="s">
        <v>690</v>
      </c>
      <c r="C682" s="296" t="s">
        <v>1846</v>
      </c>
      <c r="D682" s="297" t="s">
        <v>1590</v>
      </c>
      <c r="E682" s="788"/>
      <c r="F682" s="738" t="e">
        <f>#REF!</f>
        <v>#REF!</v>
      </c>
      <c r="G682" s="738" t="e">
        <f>#REF!</f>
        <v>#REF!</v>
      </c>
      <c r="H682" s="738" t="e">
        <f>#REF!</f>
        <v>#REF!</v>
      </c>
      <c r="I682" s="739" t="e">
        <f t="shared" si="422"/>
        <v>#REF!</v>
      </c>
      <c r="J682" s="739" t="e">
        <f t="shared" si="423"/>
        <v>#REF!</v>
      </c>
      <c r="K682" s="740" t="e">
        <f t="shared" si="424"/>
        <v>#REF!</v>
      </c>
      <c r="L682" s="735" t="e">
        <f t="shared" ref="L682:L879" si="425">IF(OR(SUM(I682:K682)&lt;&gt;0,B682="*"),$L$5,0)</f>
        <v>#REF!</v>
      </c>
      <c r="N682" s="741" t="e">
        <f t="shared" si="396"/>
        <v>#REF!</v>
      </c>
      <c r="O682" s="741" t="e">
        <f t="shared" si="397"/>
        <v>#REF!</v>
      </c>
    </row>
    <row r="683" spans="1:17" s="298" customFormat="1" ht="17.100000000000001" customHeight="1">
      <c r="A683" s="736" t="e">
        <f t="shared" si="407"/>
        <v>#REF!</v>
      </c>
      <c r="B683" s="296" t="s">
        <v>546</v>
      </c>
      <c r="C683" s="296" t="s">
        <v>1845</v>
      </c>
      <c r="D683" s="297" t="s">
        <v>1590</v>
      </c>
      <c r="E683" s="788"/>
      <c r="F683" s="738" t="e">
        <f>#REF!</f>
        <v>#REF!</v>
      </c>
      <c r="G683" s="738" t="e">
        <f>#REF!</f>
        <v>#REF!</v>
      </c>
      <c r="H683" s="738" t="e">
        <f>#REF!</f>
        <v>#REF!</v>
      </c>
      <c r="I683" s="739" t="e">
        <f t="shared" si="404"/>
        <v>#REF!</v>
      </c>
      <c r="J683" s="739" t="e">
        <f t="shared" si="405"/>
        <v>#REF!</v>
      </c>
      <c r="K683" s="740" t="e">
        <f t="shared" si="406"/>
        <v>#REF!</v>
      </c>
      <c r="L683" s="735" t="e">
        <f t="shared" si="425"/>
        <v>#REF!</v>
      </c>
      <c r="N683" s="741" t="e">
        <f t="shared" ref="N683:N880" si="426">SUM(F683:H683)*1.278</f>
        <v>#REF!</v>
      </c>
      <c r="O683" s="741" t="e">
        <f t="shared" ref="O683" si="427">N683*E683</f>
        <v>#REF!</v>
      </c>
    </row>
    <row r="684" spans="1:17" s="298" customFormat="1" ht="17.100000000000001" customHeight="1">
      <c r="A684" s="838" t="e">
        <f t="shared" si="407"/>
        <v>#REF!</v>
      </c>
      <c r="B684" s="296" t="s">
        <v>1746</v>
      </c>
      <c r="C684" s="737" t="s">
        <v>798</v>
      </c>
      <c r="D684" s="297" t="s">
        <v>0</v>
      </c>
      <c r="E684" s="788"/>
      <c r="F684" s="738"/>
      <c r="G684" s="738"/>
      <c r="H684" s="738"/>
      <c r="I684" s="739"/>
      <c r="J684" s="739"/>
      <c r="K684" s="740"/>
      <c r="L684" s="735">
        <f t="shared" si="425"/>
        <v>1</v>
      </c>
      <c r="N684" s="741">
        <f t="shared" si="426"/>
        <v>0</v>
      </c>
      <c r="O684" s="741">
        <f t="shared" ref="O684:O880" si="428">N684*E684</f>
        <v>0</v>
      </c>
    </row>
    <row r="685" spans="1:17" s="298" customFormat="1" ht="17.100000000000001" hidden="1" customHeight="1">
      <c r="A685" s="736" t="e">
        <f t="shared" si="407"/>
        <v>#REF!</v>
      </c>
      <c r="B685" s="296" t="s">
        <v>705</v>
      </c>
      <c r="C685" s="296" t="s">
        <v>799</v>
      </c>
      <c r="D685" s="297" t="s">
        <v>2</v>
      </c>
      <c r="E685" s="788"/>
      <c r="F685" s="738" t="e">
        <f>#REF!</f>
        <v>#REF!</v>
      </c>
      <c r="G685" s="738" t="e">
        <f>#REF!</f>
        <v>#REF!</v>
      </c>
      <c r="H685" s="738" t="e">
        <f>#REF!</f>
        <v>#REF!</v>
      </c>
      <c r="I685" s="739" t="e">
        <f t="shared" ref="I685:I715" si="429">E685*F685</f>
        <v>#REF!</v>
      </c>
      <c r="J685" s="739" t="e">
        <f t="shared" ref="J685:J715" si="430">E685*G685</f>
        <v>#REF!</v>
      </c>
      <c r="K685" s="740" t="e">
        <f t="shared" ref="K685:K715" si="431">E685*H685</f>
        <v>#REF!</v>
      </c>
      <c r="L685" s="735" t="e">
        <f t="shared" si="425"/>
        <v>#REF!</v>
      </c>
      <c r="N685" s="741" t="e">
        <f t="shared" si="426"/>
        <v>#REF!</v>
      </c>
      <c r="O685" s="741" t="e">
        <f t="shared" si="428"/>
        <v>#REF!</v>
      </c>
    </row>
    <row r="686" spans="1:17" s="298" customFormat="1" ht="17.100000000000001" hidden="1" customHeight="1">
      <c r="A686" s="736" t="e">
        <f t="shared" si="407"/>
        <v>#REF!</v>
      </c>
      <c r="B686" s="296" t="s">
        <v>800</v>
      </c>
      <c r="C686" s="296" t="s">
        <v>801</v>
      </c>
      <c r="D686" s="297" t="s">
        <v>9</v>
      </c>
      <c r="E686" s="788"/>
      <c r="F686" s="738" t="e">
        <f>#REF!</f>
        <v>#REF!</v>
      </c>
      <c r="G686" s="738" t="e">
        <f>#REF!</f>
        <v>#REF!</v>
      </c>
      <c r="H686" s="738" t="e">
        <f>#REF!</f>
        <v>#REF!</v>
      </c>
      <c r="I686" s="739" t="e">
        <f t="shared" si="429"/>
        <v>#REF!</v>
      </c>
      <c r="J686" s="739" t="e">
        <f t="shared" si="430"/>
        <v>#REF!</v>
      </c>
      <c r="K686" s="740" t="e">
        <f t="shared" si="431"/>
        <v>#REF!</v>
      </c>
      <c r="L686" s="735" t="e">
        <f t="shared" si="425"/>
        <v>#REF!</v>
      </c>
      <c r="N686" s="741" t="e">
        <f t="shared" si="426"/>
        <v>#REF!</v>
      </c>
      <c r="O686" s="741" t="e">
        <f t="shared" si="428"/>
        <v>#REF!</v>
      </c>
    </row>
    <row r="687" spans="1:17" s="298" customFormat="1" ht="17.100000000000001" hidden="1" customHeight="1">
      <c r="A687" s="736" t="e">
        <f t="shared" si="407"/>
        <v>#REF!</v>
      </c>
      <c r="B687" s="296" t="s">
        <v>62</v>
      </c>
      <c r="C687" s="296" t="s">
        <v>802</v>
      </c>
      <c r="D687" s="297" t="s">
        <v>59</v>
      </c>
      <c r="E687" s="788"/>
      <c r="F687" s="738" t="e">
        <f>#REF!</f>
        <v>#REF!</v>
      </c>
      <c r="G687" s="738" t="e">
        <f>#REF!</f>
        <v>#REF!</v>
      </c>
      <c r="H687" s="738" t="e">
        <f>#REF!</f>
        <v>#REF!</v>
      </c>
      <c r="I687" s="739" t="e">
        <f t="shared" si="429"/>
        <v>#REF!</v>
      </c>
      <c r="J687" s="739" t="e">
        <f t="shared" si="430"/>
        <v>#REF!</v>
      </c>
      <c r="K687" s="740" t="e">
        <f t="shared" si="431"/>
        <v>#REF!</v>
      </c>
      <c r="L687" s="735" t="e">
        <f t="shared" si="425"/>
        <v>#REF!</v>
      </c>
      <c r="N687" s="741" t="e">
        <f t="shared" si="426"/>
        <v>#REF!</v>
      </c>
      <c r="O687" s="741" t="e">
        <f t="shared" si="428"/>
        <v>#REF!</v>
      </c>
    </row>
    <row r="688" spans="1:17" s="298" customFormat="1" ht="17.100000000000001" hidden="1" customHeight="1">
      <c r="A688" s="736" t="e">
        <f t="shared" si="407"/>
        <v>#REF!</v>
      </c>
      <c r="B688" s="296" t="s">
        <v>803</v>
      </c>
      <c r="C688" s="296" t="s">
        <v>709</v>
      </c>
      <c r="D688" s="297" t="s">
        <v>671</v>
      </c>
      <c r="E688" s="788"/>
      <c r="F688" s="738" t="e">
        <f>#REF!</f>
        <v>#REF!</v>
      </c>
      <c r="G688" s="738" t="e">
        <f>#REF!</f>
        <v>#REF!</v>
      </c>
      <c r="H688" s="738" t="e">
        <f>#REF!</f>
        <v>#REF!</v>
      </c>
      <c r="I688" s="739" t="e">
        <f t="shared" si="429"/>
        <v>#REF!</v>
      </c>
      <c r="J688" s="739" t="e">
        <f t="shared" si="430"/>
        <v>#REF!</v>
      </c>
      <c r="K688" s="740" t="e">
        <f t="shared" si="431"/>
        <v>#REF!</v>
      </c>
      <c r="L688" s="735" t="e">
        <f t="shared" si="425"/>
        <v>#REF!</v>
      </c>
      <c r="N688" s="741" t="e">
        <f t="shared" si="426"/>
        <v>#REF!</v>
      </c>
      <c r="O688" s="741" t="e">
        <f t="shared" si="428"/>
        <v>#REF!</v>
      </c>
    </row>
    <row r="689" spans="1:15" s="298" customFormat="1" ht="17.100000000000001" hidden="1" customHeight="1">
      <c r="A689" s="736" t="e">
        <f t="shared" si="407"/>
        <v>#REF!</v>
      </c>
      <c r="B689" s="296" t="s">
        <v>665</v>
      </c>
      <c r="C689" s="296" t="s">
        <v>804</v>
      </c>
      <c r="D689" s="297" t="s">
        <v>667</v>
      </c>
      <c r="E689" s="788"/>
      <c r="F689" s="738" t="e">
        <f>#REF!</f>
        <v>#REF!</v>
      </c>
      <c r="G689" s="738" t="e">
        <f>#REF!</f>
        <v>#REF!</v>
      </c>
      <c r="H689" s="738" t="e">
        <f>#REF!</f>
        <v>#REF!</v>
      </c>
      <c r="I689" s="739" t="e">
        <f t="shared" si="429"/>
        <v>#REF!</v>
      </c>
      <c r="J689" s="739" t="e">
        <f t="shared" si="430"/>
        <v>#REF!</v>
      </c>
      <c r="K689" s="740" t="e">
        <f t="shared" si="431"/>
        <v>#REF!</v>
      </c>
      <c r="L689" s="735" t="e">
        <f t="shared" si="425"/>
        <v>#REF!</v>
      </c>
      <c r="N689" s="741" t="e">
        <f t="shared" si="426"/>
        <v>#REF!</v>
      </c>
      <c r="O689" s="741" t="e">
        <f t="shared" si="428"/>
        <v>#REF!</v>
      </c>
    </row>
    <row r="690" spans="1:15" s="298" customFormat="1" ht="17.100000000000001" hidden="1" customHeight="1">
      <c r="A690" s="736" t="e">
        <f t="shared" si="407"/>
        <v>#REF!</v>
      </c>
      <c r="B690" s="296" t="s">
        <v>597</v>
      </c>
      <c r="C690" s="296" t="s">
        <v>670</v>
      </c>
      <c r="D690" s="297" t="s">
        <v>671</v>
      </c>
      <c r="E690" s="788"/>
      <c r="F690" s="738" t="e">
        <f>#REF!</f>
        <v>#REF!</v>
      </c>
      <c r="G690" s="738" t="e">
        <f>#REF!</f>
        <v>#REF!</v>
      </c>
      <c r="H690" s="738" t="e">
        <f>#REF!</f>
        <v>#REF!</v>
      </c>
      <c r="I690" s="739" t="e">
        <f t="shared" si="429"/>
        <v>#REF!</v>
      </c>
      <c r="J690" s="739" t="e">
        <f t="shared" si="430"/>
        <v>#REF!</v>
      </c>
      <c r="K690" s="740" t="e">
        <f t="shared" si="431"/>
        <v>#REF!</v>
      </c>
      <c r="L690" s="735" t="e">
        <f t="shared" si="425"/>
        <v>#REF!</v>
      </c>
      <c r="N690" s="741" t="e">
        <f t="shared" si="426"/>
        <v>#REF!</v>
      </c>
      <c r="O690" s="741" t="e">
        <f t="shared" si="428"/>
        <v>#REF!</v>
      </c>
    </row>
    <row r="691" spans="1:15" s="298" customFormat="1" ht="17.100000000000001" hidden="1" customHeight="1">
      <c r="A691" s="736" t="e">
        <f t="shared" si="407"/>
        <v>#REF!</v>
      </c>
      <c r="B691" s="296" t="s">
        <v>803</v>
      </c>
      <c r="C691" s="296" t="s">
        <v>711</v>
      </c>
      <c r="D691" s="297" t="s">
        <v>671</v>
      </c>
      <c r="E691" s="788"/>
      <c r="F691" s="738" t="e">
        <f>#REF!</f>
        <v>#REF!</v>
      </c>
      <c r="G691" s="738" t="e">
        <f>#REF!</f>
        <v>#REF!</v>
      </c>
      <c r="H691" s="738" t="e">
        <f>#REF!</f>
        <v>#REF!</v>
      </c>
      <c r="I691" s="739" t="e">
        <f t="shared" si="429"/>
        <v>#REF!</v>
      </c>
      <c r="J691" s="739" t="e">
        <f t="shared" si="430"/>
        <v>#REF!</v>
      </c>
      <c r="K691" s="740" t="e">
        <f t="shared" si="431"/>
        <v>#REF!</v>
      </c>
      <c r="L691" s="735" t="e">
        <f t="shared" si="425"/>
        <v>#REF!</v>
      </c>
      <c r="N691" s="741" t="e">
        <f t="shared" si="426"/>
        <v>#REF!</v>
      </c>
      <c r="O691" s="741" t="e">
        <f t="shared" si="428"/>
        <v>#REF!</v>
      </c>
    </row>
    <row r="692" spans="1:15" s="298" customFormat="1" ht="17.100000000000001" hidden="1" customHeight="1">
      <c r="A692" s="736" t="e">
        <f t="shared" si="407"/>
        <v>#REF!</v>
      </c>
      <c r="B692" s="296" t="s">
        <v>596</v>
      </c>
      <c r="C692" s="296" t="s">
        <v>668</v>
      </c>
      <c r="D692" s="297" t="s">
        <v>9</v>
      </c>
      <c r="E692" s="788"/>
      <c r="F692" s="738" t="e">
        <f>#REF!</f>
        <v>#REF!</v>
      </c>
      <c r="G692" s="738" t="e">
        <f>#REF!</f>
        <v>#REF!</v>
      </c>
      <c r="H692" s="738" t="e">
        <f>#REF!</f>
        <v>#REF!</v>
      </c>
      <c r="I692" s="739" t="e">
        <f t="shared" si="429"/>
        <v>#REF!</v>
      </c>
      <c r="J692" s="739" t="e">
        <f t="shared" si="430"/>
        <v>#REF!</v>
      </c>
      <c r="K692" s="740" t="e">
        <f t="shared" si="431"/>
        <v>#REF!</v>
      </c>
      <c r="L692" s="735" t="e">
        <f t="shared" si="425"/>
        <v>#REF!</v>
      </c>
      <c r="N692" s="741" t="e">
        <f t="shared" si="426"/>
        <v>#REF!</v>
      </c>
      <c r="O692" s="741" t="e">
        <f t="shared" si="428"/>
        <v>#REF!</v>
      </c>
    </row>
    <row r="693" spans="1:15" s="298" customFormat="1" ht="17.100000000000001" hidden="1" customHeight="1">
      <c r="A693" s="736" t="e">
        <f t="shared" si="407"/>
        <v>#REF!</v>
      </c>
      <c r="B693" s="296" t="s">
        <v>681</v>
      </c>
      <c r="C693" s="296" t="s">
        <v>712</v>
      </c>
      <c r="D693" s="297" t="s">
        <v>683</v>
      </c>
      <c r="E693" s="788"/>
      <c r="F693" s="738"/>
      <c r="G693" s="738" t="e">
        <f>#REF!</f>
        <v>#REF!</v>
      </c>
      <c r="H693" s="738" t="e">
        <f>#REF!</f>
        <v>#REF!</v>
      </c>
      <c r="I693" s="739">
        <f t="shared" si="429"/>
        <v>0</v>
      </c>
      <c r="J693" s="739" t="e">
        <f t="shared" si="430"/>
        <v>#REF!</v>
      </c>
      <c r="K693" s="740" t="e">
        <f t="shared" si="431"/>
        <v>#REF!</v>
      </c>
      <c r="L693" s="735" t="e">
        <f t="shared" si="425"/>
        <v>#REF!</v>
      </c>
      <c r="N693" s="741" t="e">
        <f t="shared" si="426"/>
        <v>#REF!</v>
      </c>
      <c r="O693" s="741" t="e">
        <f t="shared" si="428"/>
        <v>#REF!</v>
      </c>
    </row>
    <row r="694" spans="1:15" s="298" customFormat="1" ht="17.100000000000001" customHeight="1">
      <c r="A694" s="736" t="e">
        <f t="shared" si="407"/>
        <v>#REF!</v>
      </c>
      <c r="B694" s="296" t="s">
        <v>1580</v>
      </c>
      <c r="C694" s="296" t="s">
        <v>806</v>
      </c>
      <c r="D694" s="297" t="s">
        <v>2</v>
      </c>
      <c r="E694" s="788"/>
      <c r="F694" s="738" t="e">
        <f>#REF!</f>
        <v>#REF!</v>
      </c>
      <c r="G694" s="738" t="e">
        <f>#REF!</f>
        <v>#REF!</v>
      </c>
      <c r="H694" s="738" t="e">
        <f>#REF!</f>
        <v>#REF!</v>
      </c>
      <c r="I694" s="739" t="e">
        <f t="shared" si="429"/>
        <v>#REF!</v>
      </c>
      <c r="J694" s="739" t="e">
        <f t="shared" si="430"/>
        <v>#REF!</v>
      </c>
      <c r="K694" s="740" t="e">
        <f t="shared" si="431"/>
        <v>#REF!</v>
      </c>
      <c r="L694" s="735" t="e">
        <f t="shared" si="425"/>
        <v>#REF!</v>
      </c>
      <c r="N694" s="741" t="e">
        <f t="shared" si="426"/>
        <v>#REF!</v>
      </c>
      <c r="O694" s="741" t="e">
        <f t="shared" si="428"/>
        <v>#REF!</v>
      </c>
    </row>
    <row r="695" spans="1:15" s="298" customFormat="1" ht="17.100000000000001" customHeight="1">
      <c r="A695" s="736" t="e">
        <f t="shared" si="407"/>
        <v>#REF!</v>
      </c>
      <c r="B695" s="296" t="s">
        <v>84</v>
      </c>
      <c r="C695" s="296" t="s">
        <v>85</v>
      </c>
      <c r="D695" s="297" t="s">
        <v>9</v>
      </c>
      <c r="E695" s="788"/>
      <c r="F695" s="738" t="e">
        <f>#REF!</f>
        <v>#REF!</v>
      </c>
      <c r="G695" s="738" t="e">
        <f>#REF!</f>
        <v>#REF!</v>
      </c>
      <c r="H695" s="738" t="e">
        <f>#REF!</f>
        <v>#REF!</v>
      </c>
      <c r="I695" s="739" t="e">
        <f t="shared" si="429"/>
        <v>#REF!</v>
      </c>
      <c r="J695" s="739" t="e">
        <f t="shared" si="430"/>
        <v>#REF!</v>
      </c>
      <c r="K695" s="740" t="e">
        <f t="shared" si="431"/>
        <v>#REF!</v>
      </c>
      <c r="L695" s="735" t="e">
        <f t="shared" si="425"/>
        <v>#REF!</v>
      </c>
      <c r="N695" s="741" t="e">
        <f t="shared" si="426"/>
        <v>#REF!</v>
      </c>
      <c r="O695" s="741" t="e">
        <f t="shared" si="428"/>
        <v>#REF!</v>
      </c>
    </row>
    <row r="696" spans="1:15" s="298" customFormat="1" ht="17.100000000000001" customHeight="1">
      <c r="A696" s="736" t="e">
        <f t="shared" si="407"/>
        <v>#REF!</v>
      </c>
      <c r="B696" s="296" t="s">
        <v>690</v>
      </c>
      <c r="C696" s="296" t="s">
        <v>797</v>
      </c>
      <c r="D696" s="297" t="s">
        <v>2</v>
      </c>
      <c r="E696" s="788"/>
      <c r="F696" s="738" t="e">
        <f>#REF!</f>
        <v>#REF!</v>
      </c>
      <c r="G696" s="738" t="e">
        <f>#REF!</f>
        <v>#REF!</v>
      </c>
      <c r="H696" s="738" t="e">
        <f>#REF!</f>
        <v>#REF!</v>
      </c>
      <c r="I696" s="739" t="e">
        <f t="shared" ref="I696" si="432">E696*F696</f>
        <v>#REF!</v>
      </c>
      <c r="J696" s="739" t="e">
        <f t="shared" ref="J696" si="433">E696*G696</f>
        <v>#REF!</v>
      </c>
      <c r="K696" s="740" t="e">
        <f t="shared" ref="K696" si="434">E696*H696</f>
        <v>#REF!</v>
      </c>
      <c r="L696" s="735" t="e">
        <f t="shared" ref="L696" si="435">IF(OR(SUM(I696:K696)&lt;&gt;0,B696="*"),$L$5,0)</f>
        <v>#REF!</v>
      </c>
      <c r="N696" s="741" t="e">
        <f t="shared" ref="N696" si="436">SUM(F696:H696)*1.278</f>
        <v>#REF!</v>
      </c>
      <c r="O696" s="741" t="e">
        <f t="shared" ref="O696" si="437">N696*E696</f>
        <v>#REF!</v>
      </c>
    </row>
    <row r="697" spans="1:15" s="298" customFormat="1" ht="17.100000000000001" hidden="1" customHeight="1">
      <c r="A697" s="736" t="e">
        <f t="shared" si="407"/>
        <v>#REF!</v>
      </c>
      <c r="B697" s="296" t="s">
        <v>546</v>
      </c>
      <c r="C697" s="296" t="s">
        <v>1847</v>
      </c>
      <c r="D697" s="297" t="s">
        <v>1590</v>
      </c>
      <c r="E697" s="788"/>
      <c r="F697" s="738" t="e">
        <f>#REF!</f>
        <v>#REF!</v>
      </c>
      <c r="G697" s="738" t="e">
        <f>#REF!</f>
        <v>#REF!</v>
      </c>
      <c r="H697" s="738" t="e">
        <f>#REF!</f>
        <v>#REF!</v>
      </c>
      <c r="I697" s="739" t="e">
        <f t="shared" si="429"/>
        <v>#REF!</v>
      </c>
      <c r="J697" s="739" t="e">
        <f t="shared" si="430"/>
        <v>#REF!</v>
      </c>
      <c r="K697" s="740" t="e">
        <f t="shared" si="431"/>
        <v>#REF!</v>
      </c>
      <c r="L697" s="735" t="e">
        <f t="shared" ref="L697" si="438">IF(OR(SUM(I697:K697)&lt;&gt;0,B697="*"),$L$5,0)</f>
        <v>#REF!</v>
      </c>
      <c r="N697" s="741" t="e">
        <f t="shared" ref="N697" si="439">SUM(F697:H697)*1.278</f>
        <v>#REF!</v>
      </c>
      <c r="O697" s="741" t="e">
        <f t="shared" ref="O697:O699" si="440">N697*E697</f>
        <v>#REF!</v>
      </c>
    </row>
    <row r="698" spans="1:15" s="298" customFormat="1" ht="17.100000000000001" customHeight="1">
      <c r="A698" s="736" t="e">
        <f t="shared" si="407"/>
        <v>#REF!</v>
      </c>
      <c r="B698" s="296" t="s">
        <v>1395</v>
      </c>
      <c r="C698" s="296" t="s">
        <v>808</v>
      </c>
      <c r="D698" s="297" t="s">
        <v>2</v>
      </c>
      <c r="E698" s="788"/>
      <c r="F698" s="738" t="e">
        <f>#REF!</f>
        <v>#REF!</v>
      </c>
      <c r="G698" s="738" t="e">
        <f>#REF!</f>
        <v>#REF!</v>
      </c>
      <c r="H698" s="738" t="e">
        <f>#REF!</f>
        <v>#REF!</v>
      </c>
      <c r="I698" s="739" t="e">
        <f t="shared" ref="I698:I699" si="441">E698*F698</f>
        <v>#REF!</v>
      </c>
      <c r="J698" s="739" t="e">
        <f t="shared" ref="J698:J699" si="442">E698*G698</f>
        <v>#REF!</v>
      </c>
      <c r="K698" s="740" t="e">
        <f t="shared" ref="K698:K699" si="443">E698*H698</f>
        <v>#REF!</v>
      </c>
      <c r="L698" s="735" t="e">
        <f t="shared" ref="L698:L699" si="444">IF(OR(SUM(I698:K698)&lt;&gt;0,B698="*"),$L$5,0)</f>
        <v>#REF!</v>
      </c>
      <c r="N698" s="741" t="e">
        <f t="shared" ref="N698:N699" si="445">SUM(F698:H698)*1.278</f>
        <v>#REF!</v>
      </c>
      <c r="O698" s="741" t="e">
        <f t="shared" si="440"/>
        <v>#REF!</v>
      </c>
    </row>
    <row r="699" spans="1:15" s="298" customFormat="1" ht="17.100000000000001" customHeight="1">
      <c r="A699" s="736" t="e">
        <f t="shared" si="407"/>
        <v>#REF!</v>
      </c>
      <c r="B699" s="296" t="s">
        <v>84</v>
      </c>
      <c r="C699" s="296" t="s">
        <v>85</v>
      </c>
      <c r="D699" s="297" t="s">
        <v>9</v>
      </c>
      <c r="E699" s="788"/>
      <c r="F699" s="738" t="e">
        <f>#REF!</f>
        <v>#REF!</v>
      </c>
      <c r="G699" s="738" t="e">
        <f>#REF!</f>
        <v>#REF!</v>
      </c>
      <c r="H699" s="738" t="e">
        <f>#REF!</f>
        <v>#REF!</v>
      </c>
      <c r="I699" s="739" t="e">
        <f t="shared" si="441"/>
        <v>#REF!</v>
      </c>
      <c r="J699" s="739" t="e">
        <f t="shared" si="442"/>
        <v>#REF!</v>
      </c>
      <c r="K699" s="740" t="e">
        <f t="shared" si="443"/>
        <v>#REF!</v>
      </c>
      <c r="L699" s="735" t="e">
        <f t="shared" si="444"/>
        <v>#REF!</v>
      </c>
      <c r="N699" s="741" t="e">
        <f t="shared" si="445"/>
        <v>#REF!</v>
      </c>
      <c r="O699" s="741" t="e">
        <f t="shared" si="440"/>
        <v>#REF!</v>
      </c>
    </row>
    <row r="700" spans="1:15" s="298" customFormat="1" ht="17.100000000000001" customHeight="1">
      <c r="A700" s="736" t="e">
        <f t="shared" si="407"/>
        <v>#REF!</v>
      </c>
      <c r="B700" s="296" t="s">
        <v>1395</v>
      </c>
      <c r="C700" s="296" t="s">
        <v>807</v>
      </c>
      <c r="D700" s="297" t="s">
        <v>2</v>
      </c>
      <c r="E700" s="788"/>
      <c r="F700" s="738" t="e">
        <f>#REF!</f>
        <v>#REF!</v>
      </c>
      <c r="G700" s="738" t="e">
        <f>#REF!</f>
        <v>#REF!</v>
      </c>
      <c r="H700" s="738" t="e">
        <f>#REF!</f>
        <v>#REF!</v>
      </c>
      <c r="I700" s="739" t="e">
        <f t="shared" si="429"/>
        <v>#REF!</v>
      </c>
      <c r="J700" s="739" t="e">
        <f t="shared" si="430"/>
        <v>#REF!</v>
      </c>
      <c r="K700" s="740" t="e">
        <f t="shared" si="431"/>
        <v>#REF!</v>
      </c>
      <c r="L700" s="735" t="e">
        <f t="shared" si="425"/>
        <v>#REF!</v>
      </c>
      <c r="N700" s="741" t="e">
        <f t="shared" si="426"/>
        <v>#REF!</v>
      </c>
      <c r="O700" s="741" t="e">
        <f t="shared" si="428"/>
        <v>#REF!</v>
      </c>
    </row>
    <row r="701" spans="1:15" s="298" customFormat="1" ht="17.100000000000001" customHeight="1">
      <c r="A701" s="736" t="e">
        <f t="shared" si="407"/>
        <v>#REF!</v>
      </c>
      <c r="B701" s="296" t="s">
        <v>84</v>
      </c>
      <c r="C701" s="296" t="s">
        <v>85</v>
      </c>
      <c r="D701" s="297" t="s">
        <v>9</v>
      </c>
      <c r="E701" s="788"/>
      <c r="F701" s="738" t="e">
        <f>#REF!</f>
        <v>#REF!</v>
      </c>
      <c r="G701" s="738" t="e">
        <f>#REF!</f>
        <v>#REF!</v>
      </c>
      <c r="H701" s="738" t="e">
        <f>#REF!</f>
        <v>#REF!</v>
      </c>
      <c r="I701" s="739" t="e">
        <f t="shared" si="429"/>
        <v>#REF!</v>
      </c>
      <c r="J701" s="739" t="e">
        <f t="shared" si="430"/>
        <v>#REF!</v>
      </c>
      <c r="K701" s="740" t="e">
        <f t="shared" si="431"/>
        <v>#REF!</v>
      </c>
      <c r="L701" s="735" t="e">
        <f t="shared" si="425"/>
        <v>#REF!</v>
      </c>
      <c r="N701" s="741" t="e">
        <f t="shared" si="426"/>
        <v>#REF!</v>
      </c>
      <c r="O701" s="741" t="e">
        <f t="shared" si="428"/>
        <v>#REF!</v>
      </c>
    </row>
    <row r="702" spans="1:15" s="298" customFormat="1" ht="17.100000000000001" hidden="1" customHeight="1">
      <c r="A702" s="736" t="e">
        <f t="shared" si="407"/>
        <v>#REF!</v>
      </c>
      <c r="B702" s="296" t="s">
        <v>1395</v>
      </c>
      <c r="C702" s="296" t="s">
        <v>1950</v>
      </c>
      <c r="D702" s="297" t="s">
        <v>2</v>
      </c>
      <c r="E702" s="788"/>
      <c r="F702" s="738" t="e">
        <f>#REF!</f>
        <v>#REF!</v>
      </c>
      <c r="G702" s="738" t="e">
        <f>#REF!</f>
        <v>#REF!</v>
      </c>
      <c r="H702" s="738" t="e">
        <f>#REF!</f>
        <v>#REF!</v>
      </c>
      <c r="I702" s="739" t="e">
        <f t="shared" si="429"/>
        <v>#REF!</v>
      </c>
      <c r="J702" s="739" t="e">
        <f t="shared" si="430"/>
        <v>#REF!</v>
      </c>
      <c r="K702" s="740" t="e">
        <f t="shared" si="431"/>
        <v>#REF!</v>
      </c>
      <c r="L702" s="735" t="e">
        <f t="shared" si="425"/>
        <v>#REF!</v>
      </c>
      <c r="N702" s="741" t="e">
        <f t="shared" si="426"/>
        <v>#REF!</v>
      </c>
      <c r="O702" s="741" t="e">
        <f t="shared" si="428"/>
        <v>#REF!</v>
      </c>
    </row>
    <row r="703" spans="1:15" s="298" customFormat="1" ht="17.100000000000001" hidden="1" customHeight="1">
      <c r="A703" s="736" t="e">
        <f t="shared" si="407"/>
        <v>#REF!</v>
      </c>
      <c r="B703" s="296" t="s">
        <v>84</v>
      </c>
      <c r="C703" s="296" t="s">
        <v>85</v>
      </c>
      <c r="D703" s="297" t="s">
        <v>9</v>
      </c>
      <c r="E703" s="788"/>
      <c r="F703" s="738" t="e">
        <f>#REF!</f>
        <v>#REF!</v>
      </c>
      <c r="G703" s="738" t="e">
        <f>#REF!</f>
        <v>#REF!</v>
      </c>
      <c r="H703" s="738" t="e">
        <f>#REF!</f>
        <v>#REF!</v>
      </c>
      <c r="I703" s="739" t="e">
        <f t="shared" si="429"/>
        <v>#REF!</v>
      </c>
      <c r="J703" s="739" t="e">
        <f t="shared" si="430"/>
        <v>#REF!</v>
      </c>
      <c r="K703" s="740" t="e">
        <f t="shared" si="431"/>
        <v>#REF!</v>
      </c>
      <c r="L703" s="735" t="e">
        <f t="shared" si="425"/>
        <v>#REF!</v>
      </c>
      <c r="N703" s="741" t="e">
        <f t="shared" si="426"/>
        <v>#REF!</v>
      </c>
      <c r="O703" s="741" t="e">
        <f t="shared" si="428"/>
        <v>#REF!</v>
      </c>
    </row>
    <row r="704" spans="1:15" s="298" customFormat="1" ht="17.100000000000001" hidden="1" customHeight="1">
      <c r="A704" s="736" t="e">
        <f t="shared" si="407"/>
        <v>#REF!</v>
      </c>
      <c r="B704" s="296" t="s">
        <v>546</v>
      </c>
      <c r="C704" s="296" t="s">
        <v>1847</v>
      </c>
      <c r="D704" s="297" t="s">
        <v>1590</v>
      </c>
      <c r="E704" s="788"/>
      <c r="F704" s="738" t="e">
        <f>#REF!</f>
        <v>#REF!</v>
      </c>
      <c r="G704" s="738" t="e">
        <f>#REF!</f>
        <v>#REF!</v>
      </c>
      <c r="H704" s="738" t="e">
        <f>#REF!</f>
        <v>#REF!</v>
      </c>
      <c r="I704" s="739" t="e">
        <f t="shared" ref="I704:I705" si="446">E704*F704</f>
        <v>#REF!</v>
      </c>
      <c r="J704" s="739" t="e">
        <f t="shared" ref="J704:J705" si="447">E704*G704</f>
        <v>#REF!</v>
      </c>
      <c r="K704" s="740" t="e">
        <f t="shared" ref="K704:K705" si="448">E704*H704</f>
        <v>#REF!</v>
      </c>
      <c r="L704" s="735" t="e">
        <f t="shared" si="425"/>
        <v>#REF!</v>
      </c>
      <c r="N704" s="741" t="e">
        <f t="shared" si="426"/>
        <v>#REF!</v>
      </c>
      <c r="O704" s="741" t="e">
        <f t="shared" si="428"/>
        <v>#REF!</v>
      </c>
    </row>
    <row r="705" spans="1:15" s="298" customFormat="1" ht="17.100000000000001" hidden="1" customHeight="1">
      <c r="A705" s="736" t="e">
        <f t="shared" si="407"/>
        <v>#REF!</v>
      </c>
      <c r="B705" s="296" t="s">
        <v>768</v>
      </c>
      <c r="C705" s="296" t="s">
        <v>1848</v>
      </c>
      <c r="D705" s="297" t="s">
        <v>9</v>
      </c>
      <c r="E705" s="788"/>
      <c r="F705" s="738" t="e">
        <f>#REF!</f>
        <v>#REF!</v>
      </c>
      <c r="G705" s="738" t="e">
        <f>#REF!</f>
        <v>#REF!</v>
      </c>
      <c r="H705" s="738"/>
      <c r="I705" s="739" t="e">
        <f t="shared" si="446"/>
        <v>#REF!</v>
      </c>
      <c r="J705" s="739" t="e">
        <f t="shared" si="447"/>
        <v>#REF!</v>
      </c>
      <c r="K705" s="740">
        <f t="shared" si="448"/>
        <v>0</v>
      </c>
      <c r="L705" s="735" t="e">
        <f t="shared" ref="L705" si="449">IF(OR(SUM(I705:K705)&lt;&gt;0,B705="*"),$L$5,0)</f>
        <v>#REF!</v>
      </c>
      <c r="N705" s="741" t="e">
        <f t="shared" ref="N705" si="450">SUM(F705:H705)*1.278</f>
        <v>#REF!</v>
      </c>
      <c r="O705" s="741" t="e">
        <f t="shared" si="428"/>
        <v>#REF!</v>
      </c>
    </row>
    <row r="706" spans="1:15" s="298" customFormat="1" ht="17.100000000000001" customHeight="1">
      <c r="A706" s="736" t="e">
        <f t="shared" si="407"/>
        <v>#REF!</v>
      </c>
      <c r="B706" s="296" t="s">
        <v>690</v>
      </c>
      <c r="C706" s="296" t="s">
        <v>797</v>
      </c>
      <c r="D706" s="297" t="s">
        <v>2</v>
      </c>
      <c r="E706" s="788"/>
      <c r="F706" s="738" t="e">
        <f>#REF!</f>
        <v>#REF!</v>
      </c>
      <c r="G706" s="738" t="e">
        <f>#REF!</f>
        <v>#REF!</v>
      </c>
      <c r="H706" s="738" t="e">
        <f>#REF!</f>
        <v>#REF!</v>
      </c>
      <c r="I706" s="739" t="e">
        <f t="shared" si="429"/>
        <v>#REF!</v>
      </c>
      <c r="J706" s="739" t="e">
        <f t="shared" si="430"/>
        <v>#REF!</v>
      </c>
      <c r="K706" s="740" t="e">
        <f t="shared" si="431"/>
        <v>#REF!</v>
      </c>
      <c r="L706" s="735" t="e">
        <f t="shared" si="425"/>
        <v>#REF!</v>
      </c>
      <c r="N706" s="741" t="e">
        <f t="shared" si="426"/>
        <v>#REF!</v>
      </c>
      <c r="O706" s="741" t="e">
        <f t="shared" si="428"/>
        <v>#REF!</v>
      </c>
    </row>
    <row r="707" spans="1:15" s="298" customFormat="1" ht="17.100000000000001" hidden="1" customHeight="1">
      <c r="A707" s="736" t="e">
        <f t="shared" si="407"/>
        <v>#REF!</v>
      </c>
      <c r="B707" s="296" t="s">
        <v>1402</v>
      </c>
      <c r="C707" s="296" t="s">
        <v>1524</v>
      </c>
      <c r="D707" s="297" t="s">
        <v>2</v>
      </c>
      <c r="E707" s="788"/>
      <c r="F707" s="738" t="e">
        <f>#REF!</f>
        <v>#REF!</v>
      </c>
      <c r="G707" s="738" t="e">
        <f>#REF!</f>
        <v>#REF!</v>
      </c>
      <c r="H707" s="738" t="e">
        <f>#REF!</f>
        <v>#REF!</v>
      </c>
      <c r="I707" s="739" t="e">
        <f t="shared" si="429"/>
        <v>#REF!</v>
      </c>
      <c r="J707" s="739" t="e">
        <f t="shared" si="430"/>
        <v>#REF!</v>
      </c>
      <c r="K707" s="740" t="e">
        <f t="shared" si="431"/>
        <v>#REF!</v>
      </c>
      <c r="L707" s="735" t="e">
        <f t="shared" si="425"/>
        <v>#REF!</v>
      </c>
      <c r="N707" s="741" t="e">
        <f t="shared" ref="N707:N715" si="451">SUM(F707:H707)*1.278</f>
        <v>#REF!</v>
      </c>
      <c r="O707" s="741" t="e">
        <f t="shared" si="428"/>
        <v>#REF!</v>
      </c>
    </row>
    <row r="708" spans="1:15" s="298" customFormat="1" ht="17.100000000000001" customHeight="1">
      <c r="A708" s="736" t="e">
        <f t="shared" si="407"/>
        <v>#REF!</v>
      </c>
      <c r="B708" s="296" t="s">
        <v>1541</v>
      </c>
      <c r="C708" s="296" t="s">
        <v>1542</v>
      </c>
      <c r="D708" s="297" t="s">
        <v>2</v>
      </c>
      <c r="E708" s="788"/>
      <c r="F708" s="738" t="e">
        <f>#REF!</f>
        <v>#REF!</v>
      </c>
      <c r="G708" s="738" t="e">
        <f>#REF!</f>
        <v>#REF!</v>
      </c>
      <c r="H708" s="738" t="e">
        <f>#REF!</f>
        <v>#REF!</v>
      </c>
      <c r="I708" s="739" t="e">
        <f t="shared" si="429"/>
        <v>#REF!</v>
      </c>
      <c r="J708" s="739" t="e">
        <f t="shared" si="430"/>
        <v>#REF!</v>
      </c>
      <c r="K708" s="740" t="e">
        <f t="shared" si="431"/>
        <v>#REF!</v>
      </c>
      <c r="L708" s="735" t="e">
        <f t="shared" si="425"/>
        <v>#REF!</v>
      </c>
      <c r="N708" s="741" t="e">
        <f t="shared" si="451"/>
        <v>#REF!</v>
      </c>
      <c r="O708" s="741" t="e">
        <f t="shared" si="428"/>
        <v>#REF!</v>
      </c>
    </row>
    <row r="709" spans="1:15" s="298" customFormat="1" ht="17.100000000000001" hidden="1" customHeight="1">
      <c r="A709" s="736" t="e">
        <f t="shared" si="407"/>
        <v>#REF!</v>
      </c>
      <c r="B709" s="296" t="s">
        <v>1404</v>
      </c>
      <c r="C709" s="296" t="s">
        <v>1543</v>
      </c>
      <c r="D709" s="297" t="s">
        <v>2</v>
      </c>
      <c r="E709" s="788"/>
      <c r="F709" s="738" t="e">
        <f>#REF!</f>
        <v>#REF!</v>
      </c>
      <c r="G709" s="738" t="e">
        <f>#REF!</f>
        <v>#REF!</v>
      </c>
      <c r="H709" s="738" t="e">
        <f>#REF!</f>
        <v>#REF!</v>
      </c>
      <c r="I709" s="739" t="e">
        <f t="shared" si="429"/>
        <v>#REF!</v>
      </c>
      <c r="J709" s="739" t="e">
        <f t="shared" si="430"/>
        <v>#REF!</v>
      </c>
      <c r="K709" s="740" t="e">
        <f t="shared" si="431"/>
        <v>#REF!</v>
      </c>
      <c r="L709" s="735" t="e">
        <f t="shared" si="425"/>
        <v>#REF!</v>
      </c>
      <c r="N709" s="741" t="e">
        <f t="shared" si="451"/>
        <v>#REF!</v>
      </c>
      <c r="O709" s="741" t="e">
        <f t="shared" si="428"/>
        <v>#REF!</v>
      </c>
    </row>
    <row r="710" spans="1:15" s="298" customFormat="1" ht="17.100000000000001" customHeight="1">
      <c r="A710" s="736" t="e">
        <f t="shared" si="407"/>
        <v>#REF!</v>
      </c>
      <c r="B710" s="296" t="s">
        <v>547</v>
      </c>
      <c r="C710" s="296" t="s">
        <v>85</v>
      </c>
      <c r="D710" s="297" t="s">
        <v>9</v>
      </c>
      <c r="E710" s="788"/>
      <c r="F710" s="738" t="e">
        <f>#REF!</f>
        <v>#REF!</v>
      </c>
      <c r="G710" s="738" t="e">
        <f>#REF!</f>
        <v>#REF!</v>
      </c>
      <c r="H710" s="738" t="e">
        <f>#REF!</f>
        <v>#REF!</v>
      </c>
      <c r="I710" s="739" t="e">
        <f t="shared" si="429"/>
        <v>#REF!</v>
      </c>
      <c r="J710" s="739" t="e">
        <f t="shared" si="430"/>
        <v>#REF!</v>
      </c>
      <c r="K710" s="740" t="e">
        <f t="shared" si="431"/>
        <v>#REF!</v>
      </c>
      <c r="L710" s="735" t="e">
        <f t="shared" si="425"/>
        <v>#REF!</v>
      </c>
      <c r="N710" s="741" t="e">
        <f t="shared" si="451"/>
        <v>#REF!</v>
      </c>
      <c r="O710" s="741" t="e">
        <f t="shared" si="428"/>
        <v>#REF!</v>
      </c>
    </row>
    <row r="711" spans="1:15" s="298" customFormat="1" ht="17.100000000000001" customHeight="1">
      <c r="A711" s="736" t="e">
        <f t="shared" si="407"/>
        <v>#REF!</v>
      </c>
      <c r="B711" s="296" t="s">
        <v>1395</v>
      </c>
      <c r="C711" s="296" t="s">
        <v>1525</v>
      </c>
      <c r="D711" s="297" t="s">
        <v>2</v>
      </c>
      <c r="E711" s="788"/>
      <c r="F711" s="738" t="e">
        <f>#REF!</f>
        <v>#REF!</v>
      </c>
      <c r="G711" s="738" t="e">
        <f>#REF!</f>
        <v>#REF!</v>
      </c>
      <c r="H711" s="738" t="e">
        <f>#REF!</f>
        <v>#REF!</v>
      </c>
      <c r="I711" s="739" t="e">
        <f t="shared" si="429"/>
        <v>#REF!</v>
      </c>
      <c r="J711" s="739" t="e">
        <f t="shared" si="430"/>
        <v>#REF!</v>
      </c>
      <c r="K711" s="740" t="e">
        <f t="shared" si="431"/>
        <v>#REF!</v>
      </c>
      <c r="L711" s="735" t="e">
        <f t="shared" si="425"/>
        <v>#REF!</v>
      </c>
      <c r="N711" s="741" t="e">
        <f t="shared" si="451"/>
        <v>#REF!</v>
      </c>
      <c r="O711" s="741" t="e">
        <f t="shared" si="428"/>
        <v>#REF!</v>
      </c>
    </row>
    <row r="712" spans="1:15" s="298" customFormat="1" ht="17.100000000000001" hidden="1" customHeight="1">
      <c r="A712" s="736" t="e">
        <f t="shared" si="407"/>
        <v>#REF!</v>
      </c>
      <c r="B712" s="296" t="s">
        <v>1526</v>
      </c>
      <c r="C712" s="296" t="s">
        <v>1527</v>
      </c>
      <c r="D712" s="297" t="s">
        <v>2</v>
      </c>
      <c r="E712" s="788"/>
      <c r="F712" s="738" t="e">
        <f>#REF!</f>
        <v>#REF!</v>
      </c>
      <c r="G712" s="738" t="e">
        <f>#REF!</f>
        <v>#REF!</v>
      </c>
      <c r="H712" s="738" t="e">
        <f>#REF!</f>
        <v>#REF!</v>
      </c>
      <c r="I712" s="739" t="e">
        <f t="shared" si="429"/>
        <v>#REF!</v>
      </c>
      <c r="J712" s="739" t="e">
        <f t="shared" si="430"/>
        <v>#REF!</v>
      </c>
      <c r="K712" s="740" t="e">
        <f t="shared" si="431"/>
        <v>#REF!</v>
      </c>
      <c r="L712" s="735" t="e">
        <f t="shared" si="425"/>
        <v>#REF!</v>
      </c>
      <c r="N712" s="741" t="e">
        <f t="shared" si="451"/>
        <v>#REF!</v>
      </c>
      <c r="O712" s="741" t="e">
        <f t="shared" si="428"/>
        <v>#REF!</v>
      </c>
    </row>
    <row r="713" spans="1:15" s="298" customFormat="1" ht="17.100000000000001" customHeight="1">
      <c r="A713" s="736" t="e">
        <f t="shared" si="407"/>
        <v>#REF!</v>
      </c>
      <c r="B713" s="296" t="s">
        <v>84</v>
      </c>
      <c r="C713" s="296" t="s">
        <v>1528</v>
      </c>
      <c r="D713" s="297" t="s">
        <v>9</v>
      </c>
      <c r="E713" s="788"/>
      <c r="F713" s="738" t="e">
        <f>#REF!</f>
        <v>#REF!</v>
      </c>
      <c r="G713" s="738" t="e">
        <f>#REF!</f>
        <v>#REF!</v>
      </c>
      <c r="H713" s="738" t="e">
        <f>#REF!</f>
        <v>#REF!</v>
      </c>
      <c r="I713" s="739" t="e">
        <f t="shared" si="429"/>
        <v>#REF!</v>
      </c>
      <c r="J713" s="739" t="e">
        <f t="shared" si="430"/>
        <v>#REF!</v>
      </c>
      <c r="K713" s="740" t="e">
        <f t="shared" si="431"/>
        <v>#REF!</v>
      </c>
      <c r="L713" s="735" t="e">
        <f t="shared" si="425"/>
        <v>#REF!</v>
      </c>
      <c r="N713" s="741" t="e">
        <f t="shared" si="451"/>
        <v>#REF!</v>
      </c>
      <c r="O713" s="741" t="e">
        <f t="shared" si="428"/>
        <v>#REF!</v>
      </c>
    </row>
    <row r="714" spans="1:15" s="298" customFormat="1" ht="17.100000000000001" hidden="1" customHeight="1">
      <c r="A714" s="736" t="e">
        <f t="shared" si="407"/>
        <v>#REF!</v>
      </c>
      <c r="B714" s="296" t="s">
        <v>573</v>
      </c>
      <c r="C714" s="296" t="s">
        <v>1529</v>
      </c>
      <c r="D714" s="297" t="s">
        <v>2</v>
      </c>
      <c r="E714" s="788"/>
      <c r="F714" s="738" t="e">
        <f>#REF!</f>
        <v>#REF!</v>
      </c>
      <c r="G714" s="738" t="e">
        <f>#REF!</f>
        <v>#REF!</v>
      </c>
      <c r="H714" s="738"/>
      <c r="I714" s="739" t="e">
        <f t="shared" si="429"/>
        <v>#REF!</v>
      </c>
      <c r="J714" s="739" t="e">
        <f t="shared" si="430"/>
        <v>#REF!</v>
      </c>
      <c r="K714" s="740">
        <f t="shared" si="431"/>
        <v>0</v>
      </c>
      <c r="L714" s="735" t="e">
        <f t="shared" si="425"/>
        <v>#REF!</v>
      </c>
      <c r="N714" s="741" t="e">
        <f t="shared" si="451"/>
        <v>#REF!</v>
      </c>
      <c r="O714" s="741" t="e">
        <f t="shared" si="428"/>
        <v>#REF!</v>
      </c>
    </row>
    <row r="715" spans="1:15" s="298" customFormat="1" ht="17.100000000000001" hidden="1" customHeight="1">
      <c r="A715" s="736" t="e">
        <f t="shared" si="407"/>
        <v>#REF!</v>
      </c>
      <c r="B715" s="296" t="s">
        <v>692</v>
      </c>
      <c r="C715" s="296" t="s">
        <v>1530</v>
      </c>
      <c r="D715" s="297" t="s">
        <v>2</v>
      </c>
      <c r="E715" s="788"/>
      <c r="F715" s="738"/>
      <c r="G715" s="738" t="e">
        <f>#REF!</f>
        <v>#REF!</v>
      </c>
      <c r="H715" s="738" t="e">
        <f>#REF!</f>
        <v>#REF!</v>
      </c>
      <c r="I715" s="739">
        <f t="shared" si="429"/>
        <v>0</v>
      </c>
      <c r="J715" s="739" t="e">
        <f t="shared" si="430"/>
        <v>#REF!</v>
      </c>
      <c r="K715" s="740" t="e">
        <f t="shared" si="431"/>
        <v>#REF!</v>
      </c>
      <c r="L715" s="735" t="e">
        <f t="shared" si="425"/>
        <v>#REF!</v>
      </c>
      <c r="N715" s="741" t="e">
        <f t="shared" si="451"/>
        <v>#REF!</v>
      </c>
      <c r="O715" s="741" t="e">
        <f t="shared" si="428"/>
        <v>#REF!</v>
      </c>
    </row>
    <row r="716" spans="1:15" s="298" customFormat="1" ht="17.100000000000001" customHeight="1">
      <c r="A716" s="838" t="e">
        <f t="shared" ref="A716:A779" si="452">IF(SUM(F716:H716)&lt;&gt;0,A715+L716,A715)</f>
        <v>#REF!</v>
      </c>
      <c r="B716" s="296" t="s">
        <v>1746</v>
      </c>
      <c r="C716" s="737" t="s">
        <v>810</v>
      </c>
      <c r="D716" s="297" t="s">
        <v>0</v>
      </c>
      <c r="E716" s="788"/>
      <c r="F716" s="738"/>
      <c r="G716" s="738"/>
      <c r="H716" s="738"/>
      <c r="I716" s="739"/>
      <c r="J716" s="739"/>
      <c r="K716" s="740"/>
      <c r="L716" s="735">
        <f t="shared" si="425"/>
        <v>1</v>
      </c>
      <c r="N716" s="741">
        <f t="shared" si="426"/>
        <v>0</v>
      </c>
      <c r="O716" s="741">
        <f t="shared" si="428"/>
        <v>0</v>
      </c>
    </row>
    <row r="717" spans="1:15" s="298" customFormat="1" ht="17.100000000000001" customHeight="1">
      <c r="A717" s="736" t="e">
        <f t="shared" si="452"/>
        <v>#REF!</v>
      </c>
      <c r="B717" s="296" t="s">
        <v>549</v>
      </c>
      <c r="C717" s="296" t="s">
        <v>1953</v>
      </c>
      <c r="D717" s="297" t="s">
        <v>2</v>
      </c>
      <c r="E717" s="788"/>
      <c r="F717" s="738"/>
      <c r="G717" s="738" t="e">
        <f>#REF!</f>
        <v>#REF!</v>
      </c>
      <c r="H717" s="738" t="e">
        <f>#REF!</f>
        <v>#REF!</v>
      </c>
      <c r="I717" s="739">
        <f>E717*F717</f>
        <v>0</v>
      </c>
      <c r="J717" s="739" t="e">
        <f>E717*G717</f>
        <v>#REF!</v>
      </c>
      <c r="K717" s="740" t="e">
        <f>E717*H717</f>
        <v>#REF!</v>
      </c>
      <c r="L717" s="735" t="e">
        <f t="shared" si="425"/>
        <v>#REF!</v>
      </c>
      <c r="N717" s="741" t="e">
        <f t="shared" si="426"/>
        <v>#REF!</v>
      </c>
      <c r="O717" s="741" t="e">
        <f t="shared" si="428"/>
        <v>#REF!</v>
      </c>
    </row>
    <row r="718" spans="1:15" s="298" customFormat="1" ht="17.100000000000001" customHeight="1">
      <c r="A718" s="736" t="e">
        <f t="shared" si="452"/>
        <v>#REF!</v>
      </c>
      <c r="B718" s="296" t="s">
        <v>1951</v>
      </c>
      <c r="C718" s="296" t="s">
        <v>1952</v>
      </c>
      <c r="D718" s="297" t="s">
        <v>2</v>
      </c>
      <c r="E718" s="788"/>
      <c r="F718" s="738"/>
      <c r="G718" s="738" t="e">
        <f>#REF!</f>
        <v>#REF!</v>
      </c>
      <c r="H718" s="738" t="e">
        <f>#REF!</f>
        <v>#REF!</v>
      </c>
      <c r="I718" s="739">
        <f>E718*F718</f>
        <v>0</v>
      </c>
      <c r="J718" s="739" t="e">
        <f>E718*G718</f>
        <v>#REF!</v>
      </c>
      <c r="K718" s="740" t="e">
        <f>E718*H718</f>
        <v>#REF!</v>
      </c>
      <c r="L718" s="735" t="e">
        <f t="shared" ref="L718" si="453">IF(OR(SUM(I718:K718)&lt;&gt;0,B718="*"),$L$5,0)</f>
        <v>#REF!</v>
      </c>
      <c r="N718" s="741" t="e">
        <f t="shared" ref="N718" si="454">SUM(F718:H718)*1.278</f>
        <v>#REF!</v>
      </c>
      <c r="O718" s="741" t="e">
        <f t="shared" ref="O718:O724" si="455">N718*E718</f>
        <v>#REF!</v>
      </c>
    </row>
    <row r="719" spans="1:15" s="298" customFormat="1" ht="17.100000000000001" hidden="1" customHeight="1">
      <c r="A719" s="736" t="e">
        <f t="shared" si="452"/>
        <v>#REF!</v>
      </c>
      <c r="B719" s="296" t="s">
        <v>1445</v>
      </c>
      <c r="C719" s="296" t="s">
        <v>1446</v>
      </c>
      <c r="D719" s="297" t="s">
        <v>2</v>
      </c>
      <c r="E719" s="788"/>
      <c r="F719" s="738" t="e">
        <f>#REF!</f>
        <v>#REF!</v>
      </c>
      <c r="G719" s="738" t="e">
        <f>#REF!</f>
        <v>#REF!</v>
      </c>
      <c r="H719" s="738" t="e">
        <f>#REF!</f>
        <v>#REF!</v>
      </c>
      <c r="I719" s="739" t="e">
        <f t="shared" ref="I719" si="456">E719*F719</f>
        <v>#REF!</v>
      </c>
      <c r="J719" s="739" t="e">
        <f t="shared" ref="J719" si="457">E719*G719</f>
        <v>#REF!</v>
      </c>
      <c r="K719" s="740" t="e">
        <f t="shared" ref="K719" si="458">E719*H719</f>
        <v>#REF!</v>
      </c>
      <c r="L719" s="735" t="e">
        <f t="shared" ref="L719:L724" si="459">IF(OR(SUM(I719:K719)&lt;&gt;0,B719="*"),$L$5,0)</f>
        <v>#REF!</v>
      </c>
      <c r="N719" s="741" t="e">
        <f t="shared" ref="N719:N720" si="460">SUM(F719:H719)*1.278</f>
        <v>#REF!</v>
      </c>
      <c r="O719" s="741" t="e">
        <f t="shared" si="455"/>
        <v>#REF!</v>
      </c>
    </row>
    <row r="720" spans="1:15" s="298" customFormat="1" ht="17.100000000000001" hidden="1" customHeight="1">
      <c r="A720" s="736" t="e">
        <f t="shared" si="452"/>
        <v>#REF!</v>
      </c>
      <c r="B720" s="296" t="s">
        <v>1447</v>
      </c>
      <c r="C720" s="296" t="s">
        <v>1448</v>
      </c>
      <c r="D720" s="297" t="s">
        <v>2</v>
      </c>
      <c r="E720" s="788"/>
      <c r="F720" s="738"/>
      <c r="G720" s="738" t="e">
        <f>#REF!</f>
        <v>#REF!</v>
      </c>
      <c r="H720" s="738" t="e">
        <f>#REF!</f>
        <v>#REF!</v>
      </c>
      <c r="I720" s="739">
        <f>E720*F720</f>
        <v>0</v>
      </c>
      <c r="J720" s="739" t="e">
        <f>E720*G720</f>
        <v>#REF!</v>
      </c>
      <c r="K720" s="740" t="e">
        <f>E720*H720</f>
        <v>#REF!</v>
      </c>
      <c r="L720" s="735" t="e">
        <f t="shared" si="459"/>
        <v>#REF!</v>
      </c>
      <c r="N720" s="741" t="e">
        <f t="shared" si="460"/>
        <v>#REF!</v>
      </c>
      <c r="O720" s="741" t="e">
        <f t="shared" si="455"/>
        <v>#REF!</v>
      </c>
    </row>
    <row r="721" spans="1:15" s="298" customFormat="1" ht="17.100000000000001" customHeight="1">
      <c r="A721" s="736" t="e">
        <f t="shared" si="452"/>
        <v>#REF!</v>
      </c>
      <c r="B721" s="296" t="s">
        <v>574</v>
      </c>
      <c r="C721" s="296" t="s">
        <v>1954</v>
      </c>
      <c r="D721" s="297" t="s">
        <v>2</v>
      </c>
      <c r="E721" s="788"/>
      <c r="F721" s="738"/>
      <c r="G721" s="738" t="e">
        <f>#REF!</f>
        <v>#REF!</v>
      </c>
      <c r="H721" s="738" t="e">
        <f>#REF!</f>
        <v>#REF!</v>
      </c>
      <c r="I721" s="739">
        <f t="shared" ref="I721" si="461">E721*F721</f>
        <v>0</v>
      </c>
      <c r="J721" s="739" t="e">
        <f t="shared" ref="J721" si="462">E721*G721</f>
        <v>#REF!</v>
      </c>
      <c r="K721" s="740" t="e">
        <f t="shared" ref="K721" si="463">E721*H721</f>
        <v>#REF!</v>
      </c>
      <c r="L721" s="735" t="e">
        <f t="shared" si="459"/>
        <v>#REF!</v>
      </c>
      <c r="N721" s="741" t="e">
        <f t="shared" ref="N721:N724" si="464">SUM(F721:H721)*1.278</f>
        <v>#REF!</v>
      </c>
      <c r="O721" s="741" t="e">
        <f t="shared" si="455"/>
        <v>#REF!</v>
      </c>
    </row>
    <row r="722" spans="1:15" s="298" customFormat="1" ht="17.100000000000001" hidden="1" customHeight="1">
      <c r="A722" s="736" t="e">
        <f t="shared" si="452"/>
        <v>#REF!</v>
      </c>
      <c r="B722" s="296" t="s">
        <v>1450</v>
      </c>
      <c r="C722" s="296" t="s">
        <v>1451</v>
      </c>
      <c r="D722" s="297" t="s">
        <v>2</v>
      </c>
      <c r="E722" s="788"/>
      <c r="F722" s="738"/>
      <c r="G722" s="738" t="e">
        <f>#REF!</f>
        <v>#REF!</v>
      </c>
      <c r="H722" s="738" t="e">
        <f>#REF!</f>
        <v>#REF!</v>
      </c>
      <c r="I722" s="739">
        <f>E722*F722</f>
        <v>0</v>
      </c>
      <c r="J722" s="739" t="e">
        <f>E722*G722</f>
        <v>#REF!</v>
      </c>
      <c r="K722" s="740" t="e">
        <f>E722*H722</f>
        <v>#REF!</v>
      </c>
      <c r="L722" s="735" t="e">
        <f t="shared" si="459"/>
        <v>#REF!</v>
      </c>
      <c r="N722" s="741" t="e">
        <f t="shared" si="464"/>
        <v>#REF!</v>
      </c>
      <c r="O722" s="741" t="e">
        <f t="shared" si="455"/>
        <v>#REF!</v>
      </c>
    </row>
    <row r="723" spans="1:15" s="298" customFormat="1" ht="17.100000000000001" hidden="1" customHeight="1">
      <c r="A723" s="736" t="e">
        <f t="shared" si="452"/>
        <v>#REF!</v>
      </c>
      <c r="B723" s="296" t="s">
        <v>1452</v>
      </c>
      <c r="C723" s="296" t="s">
        <v>1453</v>
      </c>
      <c r="D723" s="297" t="s">
        <v>2</v>
      </c>
      <c r="E723" s="788"/>
      <c r="F723" s="738"/>
      <c r="G723" s="738" t="e">
        <f>#REF!</f>
        <v>#REF!</v>
      </c>
      <c r="H723" s="738" t="e">
        <f>#REF!</f>
        <v>#REF!</v>
      </c>
      <c r="I723" s="739">
        <f t="shared" ref="I723:I724" si="465">E723*F723</f>
        <v>0</v>
      </c>
      <c r="J723" s="739" t="e">
        <f t="shared" ref="J723:J724" si="466">E723*G723</f>
        <v>#REF!</v>
      </c>
      <c r="K723" s="740" t="e">
        <f t="shared" ref="K723:K724" si="467">E723*H723</f>
        <v>#REF!</v>
      </c>
      <c r="L723" s="735" t="e">
        <f t="shared" si="459"/>
        <v>#REF!</v>
      </c>
      <c r="N723" s="741" t="e">
        <f t="shared" si="464"/>
        <v>#REF!</v>
      </c>
      <c r="O723" s="741" t="e">
        <f t="shared" si="455"/>
        <v>#REF!</v>
      </c>
    </row>
    <row r="724" spans="1:15" s="298" customFormat="1" ht="17.100000000000001" hidden="1" customHeight="1">
      <c r="A724" s="736" t="e">
        <f t="shared" si="452"/>
        <v>#REF!</v>
      </c>
      <c r="B724" s="296" t="s">
        <v>1454</v>
      </c>
      <c r="C724" s="296" t="s">
        <v>1455</v>
      </c>
      <c r="D724" s="297" t="s">
        <v>2</v>
      </c>
      <c r="E724" s="788"/>
      <c r="F724" s="738"/>
      <c r="G724" s="738" t="e">
        <f>#REF!</f>
        <v>#REF!</v>
      </c>
      <c r="H724" s="738" t="e">
        <f>#REF!</f>
        <v>#REF!</v>
      </c>
      <c r="I724" s="739">
        <f t="shared" si="465"/>
        <v>0</v>
      </c>
      <c r="J724" s="739" t="e">
        <f t="shared" si="466"/>
        <v>#REF!</v>
      </c>
      <c r="K724" s="740" t="e">
        <f t="shared" si="467"/>
        <v>#REF!</v>
      </c>
      <c r="L724" s="735" t="e">
        <f t="shared" si="459"/>
        <v>#REF!</v>
      </c>
      <c r="N724" s="741" t="e">
        <f t="shared" si="464"/>
        <v>#REF!</v>
      </c>
      <c r="O724" s="741" t="e">
        <f t="shared" si="455"/>
        <v>#REF!</v>
      </c>
    </row>
    <row r="725" spans="1:15" s="298" customFormat="1" ht="17.100000000000001" hidden="1" customHeight="1">
      <c r="A725" s="736" t="e">
        <f t="shared" si="452"/>
        <v>#REF!</v>
      </c>
      <c r="B725" s="296" t="s">
        <v>694</v>
      </c>
      <c r="C725" s="296" t="s">
        <v>811</v>
      </c>
      <c r="D725" s="297" t="s">
        <v>2</v>
      </c>
      <c r="E725" s="788"/>
      <c r="F725" s="738"/>
      <c r="G725" s="738" t="e">
        <f>#REF!</f>
        <v>#REF!</v>
      </c>
      <c r="H725" s="738"/>
      <c r="I725" s="739">
        <f>E725*F725</f>
        <v>0</v>
      </c>
      <c r="J725" s="739" t="e">
        <f>E725*G725</f>
        <v>#REF!</v>
      </c>
      <c r="K725" s="740">
        <f>E725*H725</f>
        <v>0</v>
      </c>
      <c r="L725" s="735" t="e">
        <f t="shared" si="425"/>
        <v>#REF!</v>
      </c>
      <c r="N725" s="741" t="e">
        <f t="shared" si="426"/>
        <v>#REF!</v>
      </c>
      <c r="O725" s="741" t="e">
        <f t="shared" si="428"/>
        <v>#REF!</v>
      </c>
    </row>
    <row r="726" spans="1:15" s="298" customFormat="1" ht="17.100000000000001" customHeight="1">
      <c r="A726" s="736" t="e">
        <f t="shared" si="452"/>
        <v>#REF!</v>
      </c>
      <c r="B726" s="296" t="s">
        <v>550</v>
      </c>
      <c r="C726" s="296" t="s">
        <v>812</v>
      </c>
      <c r="D726" s="297" t="s">
        <v>2</v>
      </c>
      <c r="E726" s="788"/>
      <c r="F726" s="738"/>
      <c r="G726" s="738" t="e">
        <f>#REF!</f>
        <v>#REF!</v>
      </c>
      <c r="H726" s="738" t="e">
        <f>#REF!</f>
        <v>#REF!</v>
      </c>
      <c r="I726" s="739">
        <f>E726*F726</f>
        <v>0</v>
      </c>
      <c r="J726" s="739" t="e">
        <f>E726*G726</f>
        <v>#REF!</v>
      </c>
      <c r="K726" s="740" t="e">
        <f>E726*H726</f>
        <v>#REF!</v>
      </c>
      <c r="L726" s="735" t="e">
        <f t="shared" si="425"/>
        <v>#REF!</v>
      </c>
      <c r="N726" s="741" t="e">
        <f t="shared" si="426"/>
        <v>#REF!</v>
      </c>
      <c r="O726" s="741" t="e">
        <f t="shared" si="428"/>
        <v>#REF!</v>
      </c>
    </row>
    <row r="727" spans="1:15" s="298" customFormat="1" ht="17.100000000000001" hidden="1" customHeight="1">
      <c r="A727" s="736" t="e">
        <f t="shared" si="452"/>
        <v>#REF!</v>
      </c>
      <c r="B727" s="296" t="s">
        <v>6</v>
      </c>
      <c r="C727" s="296" t="s">
        <v>1849</v>
      </c>
      <c r="D727" s="297" t="s">
        <v>2</v>
      </c>
      <c r="E727" s="788"/>
      <c r="F727" s="738"/>
      <c r="G727" s="738" t="e">
        <f>#REF!</f>
        <v>#REF!</v>
      </c>
      <c r="H727" s="738" t="e">
        <f>#REF!</f>
        <v>#REF!</v>
      </c>
      <c r="I727" s="739">
        <f>E727*F727</f>
        <v>0</v>
      </c>
      <c r="J727" s="739" t="e">
        <f>E727*G727</f>
        <v>#REF!</v>
      </c>
      <c r="K727" s="740" t="e">
        <f>E727*H727</f>
        <v>#REF!</v>
      </c>
      <c r="L727" s="735" t="e">
        <f t="shared" ref="L727:L733" si="468">IF(OR(SUM(I727:K727)&lt;&gt;0,B727="*"),$L$5,0)</f>
        <v>#REF!</v>
      </c>
      <c r="N727" s="741" t="e">
        <f t="shared" ref="N727" si="469">SUM(F727:H727)*1.278</f>
        <v>#REF!</v>
      </c>
      <c r="O727" s="741" t="e">
        <f t="shared" si="428"/>
        <v>#REF!</v>
      </c>
    </row>
    <row r="728" spans="1:15" s="298" customFormat="1" ht="17.100000000000001" customHeight="1">
      <c r="A728" s="736" t="e">
        <f t="shared" si="452"/>
        <v>#REF!</v>
      </c>
      <c r="B728" s="296" t="s">
        <v>1814</v>
      </c>
      <c r="C728" s="296" t="s">
        <v>1409</v>
      </c>
      <c r="D728" s="297" t="s">
        <v>551</v>
      </c>
      <c r="E728" s="788"/>
      <c r="F728" s="738" t="e">
        <f>#REF!</f>
        <v>#REF!</v>
      </c>
      <c r="G728" s="738" t="e">
        <f>#REF!</f>
        <v>#REF!</v>
      </c>
      <c r="H728" s="738"/>
      <c r="I728" s="739" t="e">
        <f t="shared" ref="I728:I731" si="470">E728*F728</f>
        <v>#REF!</v>
      </c>
      <c r="J728" s="739" t="e">
        <f t="shared" ref="J728:J731" si="471">E728*G728</f>
        <v>#REF!</v>
      </c>
      <c r="K728" s="740">
        <f t="shared" ref="K728:K731" si="472">E728*H728</f>
        <v>0</v>
      </c>
      <c r="L728" s="735" t="e">
        <f t="shared" si="468"/>
        <v>#REF!</v>
      </c>
      <c r="N728" s="741" t="e">
        <f t="shared" ref="N728" si="473">SUM(F728:H728)*1.278</f>
        <v>#REF!</v>
      </c>
      <c r="O728" s="741" t="e">
        <f t="shared" ref="O728:O733" si="474">N728*E728</f>
        <v>#REF!</v>
      </c>
    </row>
    <row r="729" spans="1:15" s="298" customFormat="1" ht="17.100000000000001" customHeight="1">
      <c r="A729" s="736" t="e">
        <f t="shared" si="452"/>
        <v>#REF!</v>
      </c>
      <c r="B729" s="296" t="s">
        <v>697</v>
      </c>
      <c r="C729" s="296" t="s">
        <v>1569</v>
      </c>
      <c r="D729" s="297" t="s">
        <v>310</v>
      </c>
      <c r="E729" s="788"/>
      <c r="F729" s="738" t="e">
        <f>#REF!</f>
        <v>#REF!</v>
      </c>
      <c r="G729" s="738" t="e">
        <f>#REF!</f>
        <v>#REF!</v>
      </c>
      <c r="H729" s="738" t="e">
        <f>#REF!</f>
        <v>#REF!</v>
      </c>
      <c r="I729" s="739" t="e">
        <f t="shared" si="470"/>
        <v>#REF!</v>
      </c>
      <c r="J729" s="739" t="e">
        <f t="shared" si="471"/>
        <v>#REF!</v>
      </c>
      <c r="K729" s="740" t="e">
        <f t="shared" si="472"/>
        <v>#REF!</v>
      </c>
      <c r="L729" s="735" t="e">
        <f t="shared" ref="L729:L730" si="475">IF(OR(SUM(I729:K729)&lt;&gt;0,B729="*"),$L$5,0)</f>
        <v>#REF!</v>
      </c>
      <c r="N729" s="741" t="e">
        <f t="shared" ref="N729:N730" si="476">SUM(F729:H729)*1.278</f>
        <v>#REF!</v>
      </c>
      <c r="O729" s="741" t="e">
        <f t="shared" si="474"/>
        <v>#REF!</v>
      </c>
    </row>
    <row r="730" spans="1:15" s="298" customFormat="1" ht="17.100000000000001" customHeight="1">
      <c r="A730" s="736" t="e">
        <f t="shared" si="452"/>
        <v>#REF!</v>
      </c>
      <c r="B730" s="296" t="s">
        <v>6</v>
      </c>
      <c r="C730" s="296" t="s">
        <v>698</v>
      </c>
      <c r="D730" s="297" t="s">
        <v>2</v>
      </c>
      <c r="E730" s="788"/>
      <c r="F730" s="738"/>
      <c r="G730" s="738" t="e">
        <f>#REF!</f>
        <v>#REF!</v>
      </c>
      <c r="H730" s="738" t="e">
        <f>#REF!</f>
        <v>#REF!</v>
      </c>
      <c r="I730" s="739">
        <f t="shared" si="470"/>
        <v>0</v>
      </c>
      <c r="J730" s="739" t="e">
        <f t="shared" si="471"/>
        <v>#REF!</v>
      </c>
      <c r="K730" s="740" t="e">
        <f t="shared" si="472"/>
        <v>#REF!</v>
      </c>
      <c r="L730" s="735" t="e">
        <f t="shared" si="475"/>
        <v>#REF!</v>
      </c>
      <c r="N730" s="741" t="e">
        <f t="shared" si="476"/>
        <v>#REF!</v>
      </c>
      <c r="O730" s="741" t="e">
        <f t="shared" si="474"/>
        <v>#REF!</v>
      </c>
    </row>
    <row r="731" spans="1:15" s="298" customFormat="1" ht="17.100000000000001" customHeight="1">
      <c r="A731" s="736" t="e">
        <f t="shared" si="452"/>
        <v>#REF!</v>
      </c>
      <c r="B731" s="296" t="s">
        <v>22</v>
      </c>
      <c r="C731" s="296" t="s">
        <v>1990</v>
      </c>
      <c r="D731" s="297" t="s">
        <v>2</v>
      </c>
      <c r="E731" s="788"/>
      <c r="F731" s="738" t="e">
        <f>#REF!</f>
        <v>#REF!</v>
      </c>
      <c r="G731" s="738" t="e">
        <f>#REF!</f>
        <v>#REF!</v>
      </c>
      <c r="H731" s="738" t="e">
        <f>#REF!</f>
        <v>#REF!</v>
      </c>
      <c r="I731" s="739" t="e">
        <f t="shared" si="470"/>
        <v>#REF!</v>
      </c>
      <c r="J731" s="739" t="e">
        <f t="shared" si="471"/>
        <v>#REF!</v>
      </c>
      <c r="K731" s="740" t="e">
        <f t="shared" si="472"/>
        <v>#REF!</v>
      </c>
      <c r="L731" s="735" t="e">
        <f t="shared" ref="L731" si="477">IF(OR(SUM(I731:K731)&lt;&gt;0,B731="*"),$L$5,0)</f>
        <v>#REF!</v>
      </c>
      <c r="N731" s="741" t="e">
        <f t="shared" ref="N731" si="478">SUM(F731:H731)*1.278</f>
        <v>#REF!</v>
      </c>
      <c r="O731" s="741" t="e">
        <f t="shared" si="474"/>
        <v>#REF!</v>
      </c>
    </row>
    <row r="732" spans="1:15" s="298" customFormat="1" ht="17.100000000000001" customHeight="1">
      <c r="A732" s="736" t="e">
        <f t="shared" si="452"/>
        <v>#REF!</v>
      </c>
      <c r="B732" s="296" t="s">
        <v>583</v>
      </c>
      <c r="C732" s="296" t="s">
        <v>1989</v>
      </c>
      <c r="D732" s="297" t="s">
        <v>2</v>
      </c>
      <c r="E732" s="788"/>
      <c r="F732" s="738" t="e">
        <f>#REF!</f>
        <v>#REF!</v>
      </c>
      <c r="G732" s="738" t="e">
        <f>#REF!</f>
        <v>#REF!</v>
      </c>
      <c r="H732" s="738" t="e">
        <f>#REF!</f>
        <v>#REF!</v>
      </c>
      <c r="I732" s="739" t="e">
        <f>E732*F732</f>
        <v>#REF!</v>
      </c>
      <c r="J732" s="739" t="e">
        <f>E732*G732</f>
        <v>#REF!</v>
      </c>
      <c r="K732" s="740" t="e">
        <f>E732*H732</f>
        <v>#REF!</v>
      </c>
      <c r="L732" s="735" t="e">
        <f t="shared" si="468"/>
        <v>#REF!</v>
      </c>
      <c r="N732" s="741" t="e">
        <f t="shared" ref="N732" si="479">SUM(F732:H732)*1.278</f>
        <v>#REF!</v>
      </c>
      <c r="O732" s="741" t="e">
        <f t="shared" si="474"/>
        <v>#REF!</v>
      </c>
    </row>
    <row r="733" spans="1:15" s="298" customFormat="1" ht="17.100000000000001" customHeight="1">
      <c r="A733" s="736" t="e">
        <f t="shared" si="452"/>
        <v>#REF!</v>
      </c>
      <c r="B733" s="296" t="s">
        <v>38</v>
      </c>
      <c r="C733" s="296" t="s">
        <v>39</v>
      </c>
      <c r="D733" s="297" t="s">
        <v>9</v>
      </c>
      <c r="E733" s="788"/>
      <c r="F733" s="738" t="e">
        <f>#REF!</f>
        <v>#REF!</v>
      </c>
      <c r="G733" s="738" t="e">
        <f>#REF!</f>
        <v>#REF!</v>
      </c>
      <c r="H733" s="738" t="e">
        <f>#REF!</f>
        <v>#REF!</v>
      </c>
      <c r="I733" s="739" t="e">
        <f t="shared" ref="I733" si="480">E733*F733</f>
        <v>#REF!</v>
      </c>
      <c r="J733" s="739" t="e">
        <f t="shared" ref="J733" si="481">E733*G733</f>
        <v>#REF!</v>
      </c>
      <c r="K733" s="740" t="e">
        <f t="shared" ref="K733" si="482">E733*H733</f>
        <v>#REF!</v>
      </c>
      <c r="L733" s="735" t="e">
        <f t="shared" si="468"/>
        <v>#REF!</v>
      </c>
      <c r="N733" s="741" t="e">
        <f t="shared" ref="N733" si="483">SUM(F733:H733)*1.278</f>
        <v>#REF!</v>
      </c>
      <c r="O733" s="741" t="e">
        <f t="shared" si="474"/>
        <v>#REF!</v>
      </c>
    </row>
    <row r="734" spans="1:15" s="298" customFormat="1" ht="17.100000000000001" customHeight="1">
      <c r="A734" s="839" t="e">
        <f t="shared" si="452"/>
        <v>#REF!</v>
      </c>
      <c r="B734" s="744" t="s">
        <v>1746</v>
      </c>
      <c r="C734" s="744" t="s">
        <v>0</v>
      </c>
      <c r="D734" s="745" t="s">
        <v>0</v>
      </c>
      <c r="E734" s="820"/>
      <c r="F734" s="746"/>
      <c r="G734" s="746"/>
      <c r="H734" s="746"/>
      <c r="I734" s="747"/>
      <c r="J734" s="747"/>
      <c r="K734" s="748"/>
      <c r="L734" s="735">
        <f t="shared" si="425"/>
        <v>1</v>
      </c>
      <c r="N734" s="741">
        <f t="shared" si="426"/>
        <v>0</v>
      </c>
      <c r="O734" s="741">
        <f t="shared" si="428"/>
        <v>0</v>
      </c>
    </row>
    <row r="735" spans="1:15" s="298" customFormat="1" ht="17.100000000000001" customHeight="1">
      <c r="A735" s="840" t="e">
        <f t="shared" si="452"/>
        <v>#REF!</v>
      </c>
      <c r="B735" s="730" t="s">
        <v>0</v>
      </c>
      <c r="C735" s="730" t="s">
        <v>1977</v>
      </c>
      <c r="D735" s="731" t="s">
        <v>0</v>
      </c>
      <c r="E735" s="819"/>
      <c r="F735" s="732"/>
      <c r="G735" s="732"/>
      <c r="H735" s="732"/>
      <c r="I735" s="733" t="e">
        <f>SUM(I736:I838)</f>
        <v>#REF!</v>
      </c>
      <c r="J735" s="733" t="e">
        <f>SUM(J736:J838)</f>
        <v>#REF!</v>
      </c>
      <c r="K735" s="734" t="e">
        <f>SUM(K736:K838)</f>
        <v>#REF!</v>
      </c>
      <c r="L735" s="735" t="e">
        <f t="shared" ref="L735:L737" si="484">IF(OR(SUM(I735:K735)&lt;&gt;0,B735="*"),$L$5,0)</f>
        <v>#REF!</v>
      </c>
      <c r="N735" s="741">
        <f t="shared" ref="N735:N782" si="485">SUM(F735:H735)*1.278</f>
        <v>0</v>
      </c>
      <c r="O735" s="734" t="e">
        <f>SUM(O736:O838)</f>
        <v>#REF!</v>
      </c>
    </row>
    <row r="736" spans="1:15" s="298" customFormat="1" ht="17.100000000000001" customHeight="1">
      <c r="A736" s="838" t="e">
        <f t="shared" si="452"/>
        <v>#REF!</v>
      </c>
      <c r="B736" s="296" t="s">
        <v>1746</v>
      </c>
      <c r="C736" s="737" t="s">
        <v>780</v>
      </c>
      <c r="D736" s="297"/>
      <c r="E736" s="788"/>
      <c r="F736" s="738"/>
      <c r="G736" s="738"/>
      <c r="H736" s="738"/>
      <c r="I736" s="739"/>
      <c r="J736" s="739"/>
      <c r="K736" s="740"/>
      <c r="L736" s="735">
        <f t="shared" si="484"/>
        <v>1</v>
      </c>
      <c r="N736" s="741">
        <f t="shared" si="485"/>
        <v>0</v>
      </c>
      <c r="O736" s="741">
        <f t="shared" ref="O736:O822" si="486">N736*E736</f>
        <v>0</v>
      </c>
    </row>
    <row r="737" spans="1:15" s="298" customFormat="1" ht="17.100000000000001" hidden="1" customHeight="1">
      <c r="A737" s="736" t="e">
        <f t="shared" si="452"/>
        <v>#REF!</v>
      </c>
      <c r="B737" s="296" t="s">
        <v>1581</v>
      </c>
      <c r="C737" s="296" t="s">
        <v>813</v>
      </c>
      <c r="D737" s="297" t="s">
        <v>2</v>
      </c>
      <c r="E737" s="788"/>
      <c r="F737" s="738" t="e">
        <f>#REF!</f>
        <v>#REF!</v>
      </c>
      <c r="G737" s="738" t="e">
        <f>#REF!</f>
        <v>#REF!</v>
      </c>
      <c r="H737" s="738" t="e">
        <f>#REF!</f>
        <v>#REF!</v>
      </c>
      <c r="I737" s="739" t="e">
        <f t="shared" ref="I737:I754" si="487">E737*F737</f>
        <v>#REF!</v>
      </c>
      <c r="J737" s="739" t="e">
        <f t="shared" ref="J737:J754" si="488">E737*G737</f>
        <v>#REF!</v>
      </c>
      <c r="K737" s="740" t="e">
        <f t="shared" ref="K737:K754" si="489">E737*H737</f>
        <v>#REF!</v>
      </c>
      <c r="L737" s="735" t="e">
        <f t="shared" si="484"/>
        <v>#REF!</v>
      </c>
      <c r="N737" s="741" t="e">
        <f t="shared" si="485"/>
        <v>#REF!</v>
      </c>
      <c r="O737" s="741" t="e">
        <f t="shared" si="486"/>
        <v>#REF!</v>
      </c>
    </row>
    <row r="738" spans="1:15" s="298" customFormat="1" ht="17.100000000000001" customHeight="1">
      <c r="A738" s="736" t="e">
        <f t="shared" si="452"/>
        <v>#REF!</v>
      </c>
      <c r="B738" s="296" t="s">
        <v>1925</v>
      </c>
      <c r="C738" s="296" t="s">
        <v>1926</v>
      </c>
      <c r="D738" s="297" t="s">
        <v>2</v>
      </c>
      <c r="E738" s="788"/>
      <c r="F738" s="738" t="e">
        <f>#REF!</f>
        <v>#REF!</v>
      </c>
      <c r="G738" s="738" t="e">
        <f>#REF!</f>
        <v>#REF!</v>
      </c>
      <c r="H738" s="738" t="e">
        <f>#REF!</f>
        <v>#REF!</v>
      </c>
      <c r="I738" s="739" t="e">
        <f t="shared" si="487"/>
        <v>#REF!</v>
      </c>
      <c r="J738" s="739" t="e">
        <f t="shared" si="488"/>
        <v>#REF!</v>
      </c>
      <c r="K738" s="740" t="e">
        <f t="shared" si="489"/>
        <v>#REF!</v>
      </c>
      <c r="L738" s="735" t="e">
        <f t="shared" ref="L738" si="490">IF(OR(SUM(I738:K738)&lt;&gt;0,B738="*"),$L$5,0)</f>
        <v>#REF!</v>
      </c>
      <c r="N738" s="741" t="e">
        <f t="shared" si="485"/>
        <v>#REF!</v>
      </c>
      <c r="O738" s="741" t="e">
        <f t="shared" si="486"/>
        <v>#REF!</v>
      </c>
    </row>
    <row r="739" spans="1:15" s="298" customFormat="1" ht="17.100000000000001" hidden="1" customHeight="1">
      <c r="A739" s="736" t="e">
        <f t="shared" si="452"/>
        <v>#REF!</v>
      </c>
      <c r="B739" s="296" t="s">
        <v>814</v>
      </c>
      <c r="C739" s="296" t="s">
        <v>815</v>
      </c>
      <c r="D739" s="297" t="s">
        <v>9</v>
      </c>
      <c r="E739" s="788"/>
      <c r="F739" s="738" t="e">
        <f>#REF!</f>
        <v>#REF!</v>
      </c>
      <c r="G739" s="738" t="e">
        <f>#REF!</f>
        <v>#REF!</v>
      </c>
      <c r="H739" s="738"/>
      <c r="I739" s="739" t="e">
        <f t="shared" si="487"/>
        <v>#REF!</v>
      </c>
      <c r="J739" s="739" t="e">
        <f t="shared" si="488"/>
        <v>#REF!</v>
      </c>
      <c r="K739" s="740">
        <f t="shared" si="489"/>
        <v>0</v>
      </c>
      <c r="L739" s="735" t="e">
        <f t="shared" ref="L739:L782" si="491">IF(OR(SUM(I739:K739)&lt;&gt;0,B739="*"),$L$5,0)</f>
        <v>#REF!</v>
      </c>
      <c r="N739" s="741" t="e">
        <f t="shared" si="485"/>
        <v>#REF!</v>
      </c>
      <c r="O739" s="741" t="e">
        <f t="shared" si="486"/>
        <v>#REF!</v>
      </c>
    </row>
    <row r="740" spans="1:15" s="298" customFormat="1" ht="17.100000000000001" customHeight="1">
      <c r="A740" s="736" t="e">
        <f t="shared" si="452"/>
        <v>#REF!</v>
      </c>
      <c r="B740" s="296" t="s">
        <v>84</v>
      </c>
      <c r="C740" s="296" t="s">
        <v>816</v>
      </c>
      <c r="D740" s="297" t="s">
        <v>9</v>
      </c>
      <c r="E740" s="788"/>
      <c r="F740" s="738" t="e">
        <f>#REF!</f>
        <v>#REF!</v>
      </c>
      <c r="G740" s="738" t="e">
        <f>#REF!</f>
        <v>#REF!</v>
      </c>
      <c r="H740" s="738" t="e">
        <f>#REF!</f>
        <v>#REF!</v>
      </c>
      <c r="I740" s="739" t="e">
        <f t="shared" si="487"/>
        <v>#REF!</v>
      </c>
      <c r="J740" s="739" t="e">
        <f t="shared" si="488"/>
        <v>#REF!</v>
      </c>
      <c r="K740" s="740" t="e">
        <f t="shared" si="489"/>
        <v>#REF!</v>
      </c>
      <c r="L740" s="735" t="e">
        <f t="shared" si="491"/>
        <v>#REF!</v>
      </c>
      <c r="N740" s="741" t="e">
        <f t="shared" si="485"/>
        <v>#REF!</v>
      </c>
      <c r="O740" s="741" t="e">
        <f t="shared" si="486"/>
        <v>#REF!</v>
      </c>
    </row>
    <row r="741" spans="1:15" s="298" customFormat="1" ht="17.100000000000001" customHeight="1">
      <c r="A741" s="736" t="e">
        <f t="shared" si="452"/>
        <v>#REF!</v>
      </c>
      <c r="B741" s="296" t="s">
        <v>817</v>
      </c>
      <c r="C741" s="296" t="s">
        <v>818</v>
      </c>
      <c r="D741" s="297" t="s">
        <v>9</v>
      </c>
      <c r="E741" s="788"/>
      <c r="F741" s="738" t="e">
        <f>#REF!</f>
        <v>#REF!</v>
      </c>
      <c r="G741" s="738" t="e">
        <f>#REF!</f>
        <v>#REF!</v>
      </c>
      <c r="H741" s="738" t="e">
        <f>#REF!</f>
        <v>#REF!</v>
      </c>
      <c r="I741" s="739" t="e">
        <f t="shared" si="487"/>
        <v>#REF!</v>
      </c>
      <c r="J741" s="739" t="e">
        <f t="shared" si="488"/>
        <v>#REF!</v>
      </c>
      <c r="K741" s="740" t="e">
        <f t="shared" si="489"/>
        <v>#REF!</v>
      </c>
      <c r="L741" s="735" t="e">
        <f t="shared" si="491"/>
        <v>#REF!</v>
      </c>
      <c r="N741" s="741" t="e">
        <f t="shared" si="485"/>
        <v>#REF!</v>
      </c>
      <c r="O741" s="741" t="e">
        <f t="shared" si="486"/>
        <v>#REF!</v>
      </c>
    </row>
    <row r="742" spans="1:15" s="298" customFormat="1" ht="17.100000000000001" customHeight="1">
      <c r="A742" s="736" t="e">
        <f t="shared" si="452"/>
        <v>#REF!</v>
      </c>
      <c r="B742" s="296" t="s">
        <v>819</v>
      </c>
      <c r="C742" s="296" t="s">
        <v>820</v>
      </c>
      <c r="D742" s="297" t="s">
        <v>9</v>
      </c>
      <c r="E742" s="788"/>
      <c r="F742" s="738" t="e">
        <f>#REF!</f>
        <v>#REF!</v>
      </c>
      <c r="G742" s="738" t="e">
        <f>#REF!</f>
        <v>#REF!</v>
      </c>
      <c r="H742" s="738" t="e">
        <f>#REF!</f>
        <v>#REF!</v>
      </c>
      <c r="I742" s="739" t="e">
        <f t="shared" si="487"/>
        <v>#REF!</v>
      </c>
      <c r="J742" s="739" t="e">
        <f t="shared" si="488"/>
        <v>#REF!</v>
      </c>
      <c r="K742" s="740" t="e">
        <f t="shared" si="489"/>
        <v>#REF!</v>
      </c>
      <c r="L742" s="735" t="e">
        <f t="shared" si="491"/>
        <v>#REF!</v>
      </c>
      <c r="N742" s="741" t="e">
        <f t="shared" si="485"/>
        <v>#REF!</v>
      </c>
      <c r="O742" s="741" t="e">
        <f t="shared" si="486"/>
        <v>#REF!</v>
      </c>
    </row>
    <row r="743" spans="1:15" s="298" customFormat="1" ht="17.100000000000001" hidden="1" customHeight="1">
      <c r="A743" s="736" t="e">
        <f t="shared" si="452"/>
        <v>#REF!</v>
      </c>
      <c r="B743" s="296" t="s">
        <v>1329</v>
      </c>
      <c r="C743" s="296" t="s">
        <v>820</v>
      </c>
      <c r="D743" s="297" t="s">
        <v>9</v>
      </c>
      <c r="E743" s="788"/>
      <c r="F743" s="738" t="e">
        <f>#REF!</f>
        <v>#REF!</v>
      </c>
      <c r="G743" s="738" t="e">
        <f>#REF!</f>
        <v>#REF!</v>
      </c>
      <c r="H743" s="738" t="e">
        <f>#REF!</f>
        <v>#REF!</v>
      </c>
      <c r="I743" s="739" t="e">
        <f t="shared" si="487"/>
        <v>#REF!</v>
      </c>
      <c r="J743" s="739" t="e">
        <f t="shared" si="488"/>
        <v>#REF!</v>
      </c>
      <c r="K743" s="740" t="e">
        <f t="shared" si="489"/>
        <v>#REF!</v>
      </c>
      <c r="L743" s="735" t="e">
        <f t="shared" si="491"/>
        <v>#REF!</v>
      </c>
      <c r="N743" s="741" t="e">
        <f t="shared" si="485"/>
        <v>#REF!</v>
      </c>
      <c r="O743" s="741" t="e">
        <f t="shared" si="486"/>
        <v>#REF!</v>
      </c>
    </row>
    <row r="744" spans="1:15" s="298" customFormat="1" ht="17.100000000000001" hidden="1" customHeight="1">
      <c r="A744" s="736" t="e">
        <f t="shared" si="452"/>
        <v>#REF!</v>
      </c>
      <c r="B744" s="296" t="s">
        <v>821</v>
      </c>
      <c r="C744" s="296" t="s">
        <v>822</v>
      </c>
      <c r="D744" s="297" t="s">
        <v>59</v>
      </c>
      <c r="E744" s="788"/>
      <c r="F744" s="738" t="e">
        <f>#REF!</f>
        <v>#REF!</v>
      </c>
      <c r="G744" s="738" t="e">
        <f>#REF!</f>
        <v>#REF!</v>
      </c>
      <c r="H744" s="738" t="e">
        <f>#REF!</f>
        <v>#REF!</v>
      </c>
      <c r="I744" s="739" t="e">
        <f t="shared" si="487"/>
        <v>#REF!</v>
      </c>
      <c r="J744" s="739" t="e">
        <f t="shared" si="488"/>
        <v>#REF!</v>
      </c>
      <c r="K744" s="740" t="e">
        <f t="shared" si="489"/>
        <v>#REF!</v>
      </c>
      <c r="L744" s="735" t="e">
        <f t="shared" si="491"/>
        <v>#REF!</v>
      </c>
      <c r="N744" s="741" t="e">
        <f t="shared" si="485"/>
        <v>#REF!</v>
      </c>
      <c r="O744" s="741" t="e">
        <f t="shared" si="486"/>
        <v>#REF!</v>
      </c>
    </row>
    <row r="745" spans="1:15" s="298" customFormat="1" ht="17.100000000000001" hidden="1" customHeight="1">
      <c r="A745" s="736" t="e">
        <f t="shared" si="452"/>
        <v>#REF!</v>
      </c>
      <c r="B745" s="296" t="s">
        <v>823</v>
      </c>
      <c r="C745" s="296" t="s">
        <v>824</v>
      </c>
      <c r="D745" s="297" t="s">
        <v>59</v>
      </c>
      <c r="E745" s="788"/>
      <c r="F745" s="738" t="e">
        <f>#REF!</f>
        <v>#REF!</v>
      </c>
      <c r="G745" s="738" t="e">
        <f>#REF!</f>
        <v>#REF!</v>
      </c>
      <c r="H745" s="738" t="e">
        <f>#REF!</f>
        <v>#REF!</v>
      </c>
      <c r="I745" s="739" t="e">
        <f t="shared" si="487"/>
        <v>#REF!</v>
      </c>
      <c r="J745" s="739" t="e">
        <f t="shared" si="488"/>
        <v>#REF!</v>
      </c>
      <c r="K745" s="740" t="e">
        <f t="shared" si="489"/>
        <v>#REF!</v>
      </c>
      <c r="L745" s="735" t="e">
        <f t="shared" si="491"/>
        <v>#REF!</v>
      </c>
      <c r="N745" s="741" t="e">
        <f t="shared" si="485"/>
        <v>#REF!</v>
      </c>
      <c r="O745" s="741" t="e">
        <f t="shared" si="486"/>
        <v>#REF!</v>
      </c>
    </row>
    <row r="746" spans="1:15" s="298" customFormat="1" ht="17.100000000000001" hidden="1" customHeight="1">
      <c r="A746" s="736" t="e">
        <f t="shared" si="452"/>
        <v>#REF!</v>
      </c>
      <c r="B746" s="296" t="s">
        <v>825</v>
      </c>
      <c r="C746" s="296" t="s">
        <v>826</v>
      </c>
      <c r="D746" s="297" t="s">
        <v>59</v>
      </c>
      <c r="E746" s="788"/>
      <c r="F746" s="738" t="e">
        <f>#REF!</f>
        <v>#REF!</v>
      </c>
      <c r="G746" s="738" t="e">
        <f>#REF!</f>
        <v>#REF!</v>
      </c>
      <c r="H746" s="738" t="e">
        <f>#REF!</f>
        <v>#REF!</v>
      </c>
      <c r="I746" s="739" t="e">
        <f t="shared" si="487"/>
        <v>#REF!</v>
      </c>
      <c r="J746" s="739" t="e">
        <f t="shared" si="488"/>
        <v>#REF!</v>
      </c>
      <c r="K746" s="740" t="e">
        <f t="shared" si="489"/>
        <v>#REF!</v>
      </c>
      <c r="L746" s="735" t="e">
        <f t="shared" si="491"/>
        <v>#REF!</v>
      </c>
      <c r="N746" s="741" t="e">
        <f t="shared" si="485"/>
        <v>#REF!</v>
      </c>
      <c r="O746" s="741" t="e">
        <f t="shared" si="486"/>
        <v>#REF!</v>
      </c>
    </row>
    <row r="747" spans="1:15" s="298" customFormat="1" ht="17.100000000000001" customHeight="1">
      <c r="A747" s="736" t="e">
        <f t="shared" si="452"/>
        <v>#REF!</v>
      </c>
      <c r="B747" s="296" t="s">
        <v>827</v>
      </c>
      <c r="C747" s="296" t="s">
        <v>828</v>
      </c>
      <c r="D747" s="297" t="s">
        <v>59</v>
      </c>
      <c r="E747" s="788"/>
      <c r="F747" s="738" t="e">
        <f>#REF!</f>
        <v>#REF!</v>
      </c>
      <c r="G747" s="738" t="e">
        <f>#REF!</f>
        <v>#REF!</v>
      </c>
      <c r="H747" s="738" t="e">
        <f>#REF!</f>
        <v>#REF!</v>
      </c>
      <c r="I747" s="739" t="e">
        <f t="shared" si="487"/>
        <v>#REF!</v>
      </c>
      <c r="J747" s="739" t="e">
        <f t="shared" si="488"/>
        <v>#REF!</v>
      </c>
      <c r="K747" s="740" t="e">
        <f t="shared" si="489"/>
        <v>#REF!</v>
      </c>
      <c r="L747" s="735" t="e">
        <f t="shared" si="491"/>
        <v>#REF!</v>
      </c>
      <c r="N747" s="741" t="e">
        <f t="shared" si="485"/>
        <v>#REF!</v>
      </c>
      <c r="O747" s="741" t="e">
        <f t="shared" si="486"/>
        <v>#REF!</v>
      </c>
    </row>
    <row r="748" spans="1:15" s="298" customFormat="1" ht="17.100000000000001" hidden="1" customHeight="1">
      <c r="A748" s="736" t="e">
        <f t="shared" si="452"/>
        <v>#REF!</v>
      </c>
      <c r="B748" s="296" t="s">
        <v>829</v>
      </c>
      <c r="C748" s="296" t="s">
        <v>830</v>
      </c>
      <c r="D748" s="297" t="s">
        <v>59</v>
      </c>
      <c r="E748" s="788"/>
      <c r="F748" s="738" t="e">
        <f>#REF!</f>
        <v>#REF!</v>
      </c>
      <c r="G748" s="738" t="e">
        <f>#REF!</f>
        <v>#REF!</v>
      </c>
      <c r="H748" s="738" t="e">
        <f>#REF!</f>
        <v>#REF!</v>
      </c>
      <c r="I748" s="739" t="e">
        <f t="shared" si="487"/>
        <v>#REF!</v>
      </c>
      <c r="J748" s="739" t="e">
        <f t="shared" si="488"/>
        <v>#REF!</v>
      </c>
      <c r="K748" s="740" t="e">
        <f t="shared" si="489"/>
        <v>#REF!</v>
      </c>
      <c r="L748" s="735" t="e">
        <f t="shared" si="491"/>
        <v>#REF!</v>
      </c>
      <c r="N748" s="741" t="e">
        <f t="shared" si="485"/>
        <v>#REF!</v>
      </c>
      <c r="O748" s="741" t="e">
        <f t="shared" si="486"/>
        <v>#REF!</v>
      </c>
    </row>
    <row r="749" spans="1:15" s="298" customFormat="1" ht="17.100000000000001" hidden="1" customHeight="1">
      <c r="A749" s="736" t="e">
        <f t="shared" si="452"/>
        <v>#REF!</v>
      </c>
      <c r="B749" s="296" t="s">
        <v>62</v>
      </c>
      <c r="C749" s="296" t="s">
        <v>831</v>
      </c>
      <c r="D749" s="297" t="s">
        <v>59</v>
      </c>
      <c r="E749" s="788"/>
      <c r="F749" s="738" t="e">
        <f>#REF!</f>
        <v>#REF!</v>
      </c>
      <c r="G749" s="738" t="e">
        <f>#REF!</f>
        <v>#REF!</v>
      </c>
      <c r="H749" s="738" t="e">
        <f>#REF!</f>
        <v>#REF!</v>
      </c>
      <c r="I749" s="739" t="e">
        <f t="shared" si="487"/>
        <v>#REF!</v>
      </c>
      <c r="J749" s="739" t="e">
        <f t="shared" si="488"/>
        <v>#REF!</v>
      </c>
      <c r="K749" s="740" t="e">
        <f t="shared" si="489"/>
        <v>#REF!</v>
      </c>
      <c r="L749" s="735" t="e">
        <f t="shared" si="491"/>
        <v>#REF!</v>
      </c>
      <c r="N749" s="741" t="e">
        <f t="shared" si="485"/>
        <v>#REF!</v>
      </c>
      <c r="O749" s="741" t="e">
        <f t="shared" si="486"/>
        <v>#REF!</v>
      </c>
    </row>
    <row r="750" spans="1:15" s="298" customFormat="1" ht="17.100000000000001" customHeight="1">
      <c r="A750" s="736" t="e">
        <f t="shared" si="452"/>
        <v>#REF!</v>
      </c>
      <c r="B750" s="296" t="s">
        <v>1395</v>
      </c>
      <c r="C750" s="296" t="s">
        <v>1955</v>
      </c>
      <c r="D750" s="297" t="s">
        <v>2</v>
      </c>
      <c r="E750" s="788"/>
      <c r="F750" s="738" t="e">
        <f>#REF!</f>
        <v>#REF!</v>
      </c>
      <c r="G750" s="738" t="e">
        <f>#REF!</f>
        <v>#REF!</v>
      </c>
      <c r="H750" s="738" t="e">
        <f>#REF!</f>
        <v>#REF!</v>
      </c>
      <c r="I750" s="739" t="e">
        <f t="shared" si="487"/>
        <v>#REF!</v>
      </c>
      <c r="J750" s="739" t="e">
        <f t="shared" si="488"/>
        <v>#REF!</v>
      </c>
      <c r="K750" s="740" t="e">
        <f t="shared" si="489"/>
        <v>#REF!</v>
      </c>
      <c r="L750" s="735" t="e">
        <f t="shared" si="491"/>
        <v>#REF!</v>
      </c>
      <c r="N750" s="741" t="e">
        <f t="shared" si="485"/>
        <v>#REF!</v>
      </c>
      <c r="O750" s="741" t="e">
        <f t="shared" si="486"/>
        <v>#REF!</v>
      </c>
    </row>
    <row r="751" spans="1:15" s="298" customFormat="1" ht="17.100000000000001" customHeight="1">
      <c r="A751" s="736" t="e">
        <f t="shared" si="452"/>
        <v>#REF!</v>
      </c>
      <c r="B751" s="296" t="s">
        <v>84</v>
      </c>
      <c r="C751" s="296" t="s">
        <v>85</v>
      </c>
      <c r="D751" s="297" t="s">
        <v>9</v>
      </c>
      <c r="E751" s="788"/>
      <c r="F751" s="738" t="e">
        <f>#REF!</f>
        <v>#REF!</v>
      </c>
      <c r="G751" s="738" t="e">
        <f>#REF!</f>
        <v>#REF!</v>
      </c>
      <c r="H751" s="738" t="e">
        <f>#REF!</f>
        <v>#REF!</v>
      </c>
      <c r="I751" s="739" t="e">
        <f t="shared" si="487"/>
        <v>#REF!</v>
      </c>
      <c r="J751" s="739" t="e">
        <f t="shared" si="488"/>
        <v>#REF!</v>
      </c>
      <c r="K751" s="740" t="e">
        <f t="shared" si="489"/>
        <v>#REF!</v>
      </c>
      <c r="L751" s="735" t="e">
        <f t="shared" si="491"/>
        <v>#REF!</v>
      </c>
      <c r="N751" s="741" t="e">
        <f t="shared" si="485"/>
        <v>#REF!</v>
      </c>
      <c r="O751" s="741" t="e">
        <f t="shared" si="486"/>
        <v>#REF!</v>
      </c>
    </row>
    <row r="752" spans="1:15" s="298" customFormat="1" ht="17.100000000000001" hidden="1" customHeight="1">
      <c r="A752" s="736" t="e">
        <f t="shared" si="452"/>
        <v>#REF!</v>
      </c>
      <c r="B752" s="296" t="s">
        <v>832</v>
      </c>
      <c r="C752" s="296" t="s">
        <v>833</v>
      </c>
      <c r="D752" s="297" t="s">
        <v>310</v>
      </c>
      <c r="E752" s="788"/>
      <c r="F752" s="738" t="e">
        <f>#REF!</f>
        <v>#REF!</v>
      </c>
      <c r="G752" s="738" t="e">
        <f>#REF!</f>
        <v>#REF!</v>
      </c>
      <c r="H752" s="738"/>
      <c r="I752" s="739" t="e">
        <f t="shared" si="487"/>
        <v>#REF!</v>
      </c>
      <c r="J752" s="739" t="e">
        <f t="shared" si="488"/>
        <v>#REF!</v>
      </c>
      <c r="K752" s="740">
        <f t="shared" si="489"/>
        <v>0</v>
      </c>
      <c r="L752" s="735" t="e">
        <f t="shared" si="491"/>
        <v>#REF!</v>
      </c>
      <c r="N752" s="741" t="e">
        <f t="shared" si="485"/>
        <v>#REF!</v>
      </c>
      <c r="O752" s="741" t="e">
        <f t="shared" si="486"/>
        <v>#REF!</v>
      </c>
    </row>
    <row r="753" spans="1:15" s="298" customFormat="1" ht="17.100000000000001" customHeight="1">
      <c r="A753" s="736" t="e">
        <f t="shared" si="452"/>
        <v>#REF!</v>
      </c>
      <c r="B753" s="296" t="s">
        <v>690</v>
      </c>
      <c r="C753" s="296" t="s">
        <v>834</v>
      </c>
      <c r="D753" s="297" t="s">
        <v>2</v>
      </c>
      <c r="E753" s="788"/>
      <c r="F753" s="738" t="e">
        <f>#REF!</f>
        <v>#REF!</v>
      </c>
      <c r="G753" s="738" t="e">
        <f>#REF!</f>
        <v>#REF!</v>
      </c>
      <c r="H753" s="738" t="e">
        <f>#REF!</f>
        <v>#REF!</v>
      </c>
      <c r="I753" s="739" t="e">
        <f t="shared" si="487"/>
        <v>#REF!</v>
      </c>
      <c r="J753" s="739" t="e">
        <f t="shared" si="488"/>
        <v>#REF!</v>
      </c>
      <c r="K753" s="740" t="e">
        <f t="shared" si="489"/>
        <v>#REF!</v>
      </c>
      <c r="L753" s="735" t="e">
        <f t="shared" si="491"/>
        <v>#REF!</v>
      </c>
      <c r="N753" s="741" t="e">
        <f t="shared" si="485"/>
        <v>#REF!</v>
      </c>
      <c r="O753" s="741" t="e">
        <f t="shared" si="486"/>
        <v>#REF!</v>
      </c>
    </row>
    <row r="754" spans="1:15" s="298" customFormat="1" ht="17.100000000000001" customHeight="1">
      <c r="A754" s="736" t="e">
        <f t="shared" si="452"/>
        <v>#REF!</v>
      </c>
      <c r="B754" s="296" t="s">
        <v>546</v>
      </c>
      <c r="C754" s="296" t="s">
        <v>835</v>
      </c>
      <c r="D754" s="297" t="s">
        <v>2</v>
      </c>
      <c r="E754" s="788"/>
      <c r="F754" s="738" t="e">
        <f>#REF!</f>
        <v>#REF!</v>
      </c>
      <c r="G754" s="738" t="e">
        <f>#REF!</f>
        <v>#REF!</v>
      </c>
      <c r="H754" s="738" t="e">
        <f>#REF!</f>
        <v>#REF!</v>
      </c>
      <c r="I754" s="739" t="e">
        <f t="shared" si="487"/>
        <v>#REF!</v>
      </c>
      <c r="J754" s="739" t="e">
        <f t="shared" si="488"/>
        <v>#REF!</v>
      </c>
      <c r="K754" s="740" t="e">
        <f t="shared" si="489"/>
        <v>#REF!</v>
      </c>
      <c r="L754" s="735" t="e">
        <f t="shared" si="491"/>
        <v>#REF!</v>
      </c>
      <c r="N754" s="741" t="e">
        <f t="shared" si="485"/>
        <v>#REF!</v>
      </c>
      <c r="O754" s="741" t="e">
        <f t="shared" si="486"/>
        <v>#REF!</v>
      </c>
    </row>
    <row r="755" spans="1:15" s="298" customFormat="1" ht="17.100000000000001" customHeight="1">
      <c r="A755" s="838" t="e">
        <f t="shared" si="452"/>
        <v>#REF!</v>
      </c>
      <c r="B755" s="296" t="s">
        <v>1746</v>
      </c>
      <c r="C755" s="737" t="s">
        <v>1964</v>
      </c>
      <c r="D755" s="297" t="s">
        <v>0</v>
      </c>
      <c r="E755" s="788"/>
      <c r="F755" s="738"/>
      <c r="G755" s="738"/>
      <c r="H755" s="738"/>
      <c r="I755" s="739"/>
      <c r="J755" s="739"/>
      <c r="K755" s="740"/>
      <c r="L755" s="735">
        <f t="shared" si="491"/>
        <v>1</v>
      </c>
      <c r="N755" s="741">
        <f t="shared" si="485"/>
        <v>0</v>
      </c>
      <c r="O755" s="741">
        <f t="shared" si="486"/>
        <v>0</v>
      </c>
    </row>
    <row r="756" spans="1:15" s="298" customFormat="1" ht="17.100000000000001" customHeight="1">
      <c r="A756" s="736" t="e">
        <f t="shared" si="452"/>
        <v>#REF!</v>
      </c>
      <c r="B756" s="296" t="s">
        <v>583</v>
      </c>
      <c r="C756" s="296" t="s">
        <v>1956</v>
      </c>
      <c r="D756" s="297" t="s">
        <v>2</v>
      </c>
      <c r="E756" s="788"/>
      <c r="F756" s="738" t="e">
        <f>#REF!</f>
        <v>#REF!</v>
      </c>
      <c r="G756" s="738" t="e">
        <f>#REF!</f>
        <v>#REF!</v>
      </c>
      <c r="H756" s="738" t="e">
        <f>#REF!</f>
        <v>#REF!</v>
      </c>
      <c r="I756" s="739" t="e">
        <f>E756*F756</f>
        <v>#REF!</v>
      </c>
      <c r="J756" s="739" t="e">
        <f>E756*G756</f>
        <v>#REF!</v>
      </c>
      <c r="K756" s="740" t="e">
        <f>E756*H756</f>
        <v>#REF!</v>
      </c>
      <c r="L756" s="735" t="e">
        <f t="shared" si="491"/>
        <v>#REF!</v>
      </c>
      <c r="N756" s="741" t="e">
        <f t="shared" si="485"/>
        <v>#REF!</v>
      </c>
      <c r="O756" s="741" t="e">
        <f t="shared" si="486"/>
        <v>#REF!</v>
      </c>
    </row>
    <row r="757" spans="1:15" s="298" customFormat="1" ht="17.100000000000001" customHeight="1">
      <c r="A757" s="736" t="e">
        <f t="shared" si="452"/>
        <v>#REF!</v>
      </c>
      <c r="B757" s="296" t="s">
        <v>38</v>
      </c>
      <c r="C757" s="296" t="s">
        <v>85</v>
      </c>
      <c r="D757" s="297" t="s">
        <v>9</v>
      </c>
      <c r="E757" s="788"/>
      <c r="F757" s="738" t="e">
        <f>#REF!</f>
        <v>#REF!</v>
      </c>
      <c r="G757" s="738" t="e">
        <f>#REF!</f>
        <v>#REF!</v>
      </c>
      <c r="H757" s="738" t="e">
        <f>#REF!</f>
        <v>#REF!</v>
      </c>
      <c r="I757" s="739" t="e">
        <f>E757*F757</f>
        <v>#REF!</v>
      </c>
      <c r="J757" s="739" t="e">
        <f>E757*G757</f>
        <v>#REF!</v>
      </c>
      <c r="K757" s="740" t="e">
        <f>E757*H757</f>
        <v>#REF!</v>
      </c>
      <c r="L757" s="735" t="e">
        <f t="shared" si="491"/>
        <v>#REF!</v>
      </c>
      <c r="N757" s="741" t="e">
        <f t="shared" si="485"/>
        <v>#REF!</v>
      </c>
      <c r="O757" s="741" t="e">
        <f t="shared" si="486"/>
        <v>#REF!</v>
      </c>
    </row>
    <row r="758" spans="1:15" s="298" customFormat="1" ht="17.100000000000001" hidden="1" customHeight="1">
      <c r="A758" s="736" t="e">
        <f t="shared" si="452"/>
        <v>#REF!</v>
      </c>
      <c r="B758" s="296" t="s">
        <v>62</v>
      </c>
      <c r="C758" s="296" t="s">
        <v>836</v>
      </c>
      <c r="D758" s="297" t="s">
        <v>59</v>
      </c>
      <c r="E758" s="788"/>
      <c r="F758" s="738" t="e">
        <f>#REF!</f>
        <v>#REF!</v>
      </c>
      <c r="G758" s="738" t="e">
        <f>#REF!</f>
        <v>#REF!</v>
      </c>
      <c r="H758" s="738" t="e">
        <f>#REF!</f>
        <v>#REF!</v>
      </c>
      <c r="I758" s="739" t="e">
        <f>E758*F758</f>
        <v>#REF!</v>
      </c>
      <c r="J758" s="739" t="e">
        <f>E758*G758</f>
        <v>#REF!</v>
      </c>
      <c r="K758" s="740" t="e">
        <f>E758*H758</f>
        <v>#REF!</v>
      </c>
      <c r="L758" s="735" t="e">
        <f t="shared" si="491"/>
        <v>#REF!</v>
      </c>
      <c r="N758" s="741" t="e">
        <f t="shared" si="485"/>
        <v>#REF!</v>
      </c>
      <c r="O758" s="741" t="e">
        <f t="shared" si="486"/>
        <v>#REF!</v>
      </c>
    </row>
    <row r="759" spans="1:15" s="298" customFormat="1" ht="17.100000000000001" customHeight="1">
      <c r="A759" s="736" t="e">
        <f t="shared" si="452"/>
        <v>#REF!</v>
      </c>
      <c r="B759" s="296" t="s">
        <v>663</v>
      </c>
      <c r="C759" s="296" t="s">
        <v>837</v>
      </c>
      <c r="D759" s="297" t="s">
        <v>59</v>
      </c>
      <c r="E759" s="788"/>
      <c r="F759" s="738" t="e">
        <f>#REF!</f>
        <v>#REF!</v>
      </c>
      <c r="G759" s="738" t="e">
        <f>#REF!</f>
        <v>#REF!</v>
      </c>
      <c r="H759" s="738" t="e">
        <f>#REF!</f>
        <v>#REF!</v>
      </c>
      <c r="I759" s="739" t="e">
        <f>E759*F759</f>
        <v>#REF!</v>
      </c>
      <c r="J759" s="739" t="e">
        <f>E759*G759</f>
        <v>#REF!</v>
      </c>
      <c r="K759" s="740" t="e">
        <f>E759*H759</f>
        <v>#REF!</v>
      </c>
      <c r="L759" s="735" t="e">
        <f t="shared" si="491"/>
        <v>#REF!</v>
      </c>
      <c r="N759" s="741" t="e">
        <f t="shared" si="485"/>
        <v>#REF!</v>
      </c>
      <c r="O759" s="741" t="e">
        <f t="shared" si="486"/>
        <v>#REF!</v>
      </c>
    </row>
    <row r="760" spans="1:15" s="298" customFormat="1" ht="17.100000000000001" customHeight="1">
      <c r="A760" s="736" t="e">
        <f t="shared" si="452"/>
        <v>#REF!</v>
      </c>
      <c r="B760" s="296" t="s">
        <v>690</v>
      </c>
      <c r="C760" s="296" t="s">
        <v>838</v>
      </c>
      <c r="D760" s="297" t="s">
        <v>2</v>
      </c>
      <c r="E760" s="788"/>
      <c r="F760" s="738" t="e">
        <f>#REF!</f>
        <v>#REF!</v>
      </c>
      <c r="G760" s="738" t="e">
        <f>#REF!</f>
        <v>#REF!</v>
      </c>
      <c r="H760" s="738" t="e">
        <f>#REF!</f>
        <v>#REF!</v>
      </c>
      <c r="I760" s="739" t="e">
        <f>E760*F760</f>
        <v>#REF!</v>
      </c>
      <c r="J760" s="739" t="e">
        <f>E760*G760</f>
        <v>#REF!</v>
      </c>
      <c r="K760" s="740" t="e">
        <f>E760*H760</f>
        <v>#REF!</v>
      </c>
      <c r="L760" s="735" t="e">
        <f t="shared" si="491"/>
        <v>#REF!</v>
      </c>
      <c r="N760" s="741" t="e">
        <f t="shared" si="485"/>
        <v>#REF!</v>
      </c>
      <c r="O760" s="741" t="e">
        <f t="shared" si="486"/>
        <v>#REF!</v>
      </c>
    </row>
    <row r="761" spans="1:15" s="298" customFormat="1" ht="17.100000000000001" hidden="1" customHeight="1">
      <c r="A761" s="736" t="e">
        <f t="shared" si="452"/>
        <v>#REF!</v>
      </c>
      <c r="B761" s="296"/>
      <c r="C761" s="737" t="s">
        <v>839</v>
      </c>
      <c r="D761" s="297" t="s">
        <v>0</v>
      </c>
      <c r="E761" s="788"/>
      <c r="F761" s="738"/>
      <c r="G761" s="738"/>
      <c r="H761" s="738"/>
      <c r="I761" s="739"/>
      <c r="J761" s="739"/>
      <c r="K761" s="740"/>
      <c r="L761" s="735">
        <f t="shared" si="491"/>
        <v>0</v>
      </c>
      <c r="N761" s="741">
        <f t="shared" si="485"/>
        <v>0</v>
      </c>
      <c r="O761" s="741">
        <f t="shared" si="486"/>
        <v>0</v>
      </c>
    </row>
    <row r="762" spans="1:15" s="298" customFormat="1" ht="17.100000000000001" hidden="1" customHeight="1">
      <c r="A762" s="736" t="e">
        <f t="shared" si="452"/>
        <v>#REF!</v>
      </c>
      <c r="B762" s="296" t="s">
        <v>895</v>
      </c>
      <c r="C762" s="296" t="s">
        <v>840</v>
      </c>
      <c r="D762" s="297" t="s">
        <v>2</v>
      </c>
      <c r="E762" s="788"/>
      <c r="F762" s="738" t="e">
        <f>#REF!</f>
        <v>#REF!</v>
      </c>
      <c r="G762" s="738" t="e">
        <f>#REF!</f>
        <v>#REF!</v>
      </c>
      <c r="H762" s="738" t="e">
        <f>#REF!</f>
        <v>#REF!</v>
      </c>
      <c r="I762" s="739" t="e">
        <f t="shared" ref="I762:I769" si="492">E762*F762</f>
        <v>#REF!</v>
      </c>
      <c r="J762" s="739" t="e">
        <f t="shared" ref="J762:J769" si="493">E762*G762</f>
        <v>#REF!</v>
      </c>
      <c r="K762" s="740" t="e">
        <f t="shared" ref="K762:K769" si="494">E762*H762</f>
        <v>#REF!</v>
      </c>
      <c r="L762" s="735" t="e">
        <f t="shared" si="491"/>
        <v>#REF!</v>
      </c>
      <c r="N762" s="741" t="e">
        <f t="shared" si="485"/>
        <v>#REF!</v>
      </c>
      <c r="O762" s="741" t="e">
        <f t="shared" si="486"/>
        <v>#REF!</v>
      </c>
    </row>
    <row r="763" spans="1:15" s="298" customFormat="1" ht="17.100000000000001" hidden="1" customHeight="1">
      <c r="A763" s="736" t="e">
        <f t="shared" si="452"/>
        <v>#REF!</v>
      </c>
      <c r="B763" s="296" t="s">
        <v>1584</v>
      </c>
      <c r="C763" s="296" t="s">
        <v>1957</v>
      </c>
      <c r="D763" s="297" t="s">
        <v>2</v>
      </c>
      <c r="E763" s="788"/>
      <c r="F763" s="738" t="e">
        <f>#REF!</f>
        <v>#REF!</v>
      </c>
      <c r="G763" s="738" t="e">
        <f>#REF!</f>
        <v>#REF!</v>
      </c>
      <c r="H763" s="738" t="e">
        <f>#REF!</f>
        <v>#REF!</v>
      </c>
      <c r="I763" s="739" t="e">
        <f t="shared" si="492"/>
        <v>#REF!</v>
      </c>
      <c r="J763" s="739" t="e">
        <f t="shared" si="493"/>
        <v>#REF!</v>
      </c>
      <c r="K763" s="740" t="e">
        <f t="shared" si="494"/>
        <v>#REF!</v>
      </c>
      <c r="L763" s="735" t="e">
        <f t="shared" si="491"/>
        <v>#REF!</v>
      </c>
      <c r="N763" s="741" t="e">
        <f t="shared" si="485"/>
        <v>#REF!</v>
      </c>
      <c r="O763" s="741" t="e">
        <f t="shared" si="486"/>
        <v>#REF!</v>
      </c>
    </row>
    <row r="764" spans="1:15" s="298" customFormat="1" ht="17.100000000000001" hidden="1" customHeight="1">
      <c r="A764" s="736" t="e">
        <f t="shared" si="452"/>
        <v>#REF!</v>
      </c>
      <c r="B764" s="296" t="s">
        <v>38</v>
      </c>
      <c r="C764" s="296" t="s">
        <v>85</v>
      </c>
      <c r="D764" s="297" t="s">
        <v>9</v>
      </c>
      <c r="E764" s="788"/>
      <c r="F764" s="738" t="e">
        <f>#REF!</f>
        <v>#REF!</v>
      </c>
      <c r="G764" s="738" t="e">
        <f>#REF!</f>
        <v>#REF!</v>
      </c>
      <c r="H764" s="738" t="e">
        <f>#REF!</f>
        <v>#REF!</v>
      </c>
      <c r="I764" s="739" t="e">
        <f t="shared" si="492"/>
        <v>#REF!</v>
      </c>
      <c r="J764" s="739" t="e">
        <f t="shared" si="493"/>
        <v>#REF!</v>
      </c>
      <c r="K764" s="740" t="e">
        <f t="shared" si="494"/>
        <v>#REF!</v>
      </c>
      <c r="L764" s="735" t="e">
        <f t="shared" si="491"/>
        <v>#REF!</v>
      </c>
      <c r="N764" s="741" t="e">
        <f t="shared" si="485"/>
        <v>#REF!</v>
      </c>
      <c r="O764" s="741" t="e">
        <f t="shared" si="486"/>
        <v>#REF!</v>
      </c>
    </row>
    <row r="765" spans="1:15" s="298" customFormat="1" ht="17.100000000000001" customHeight="1">
      <c r="A765" s="736" t="e">
        <f t="shared" si="452"/>
        <v>#REF!</v>
      </c>
      <c r="B765" s="296" t="s">
        <v>768</v>
      </c>
      <c r="C765" s="296" t="s">
        <v>841</v>
      </c>
      <c r="D765" s="297" t="s">
        <v>9</v>
      </c>
      <c r="E765" s="788"/>
      <c r="F765" s="738" t="e">
        <f>#REF!</f>
        <v>#REF!</v>
      </c>
      <c r="G765" s="738" t="e">
        <f>#REF!</f>
        <v>#REF!</v>
      </c>
      <c r="H765" s="738"/>
      <c r="I765" s="739" t="e">
        <f t="shared" si="492"/>
        <v>#REF!</v>
      </c>
      <c r="J765" s="739" t="e">
        <f t="shared" si="493"/>
        <v>#REF!</v>
      </c>
      <c r="K765" s="740">
        <f t="shared" si="494"/>
        <v>0</v>
      </c>
      <c r="L765" s="735" t="e">
        <f t="shared" si="491"/>
        <v>#REF!</v>
      </c>
      <c r="N765" s="741" t="e">
        <f t="shared" si="485"/>
        <v>#REF!</v>
      </c>
      <c r="O765" s="741" t="e">
        <f t="shared" si="486"/>
        <v>#REF!</v>
      </c>
    </row>
    <row r="766" spans="1:15" s="298" customFormat="1" ht="17.100000000000001" hidden="1" customHeight="1">
      <c r="A766" s="736" t="e">
        <f t="shared" si="452"/>
        <v>#REF!</v>
      </c>
      <c r="B766" s="296" t="s">
        <v>663</v>
      </c>
      <c r="C766" s="296" t="s">
        <v>842</v>
      </c>
      <c r="D766" s="297" t="s">
        <v>59</v>
      </c>
      <c r="E766" s="788"/>
      <c r="F766" s="738" t="e">
        <f>#REF!</f>
        <v>#REF!</v>
      </c>
      <c r="G766" s="738" t="e">
        <f>#REF!</f>
        <v>#REF!</v>
      </c>
      <c r="H766" s="738" t="e">
        <f>#REF!</f>
        <v>#REF!</v>
      </c>
      <c r="I766" s="739" t="e">
        <f t="shared" si="492"/>
        <v>#REF!</v>
      </c>
      <c r="J766" s="739" t="e">
        <f t="shared" si="493"/>
        <v>#REF!</v>
      </c>
      <c r="K766" s="740" t="e">
        <f t="shared" si="494"/>
        <v>#REF!</v>
      </c>
      <c r="L766" s="735" t="e">
        <f t="shared" si="491"/>
        <v>#REF!</v>
      </c>
      <c r="N766" s="741" t="e">
        <f t="shared" si="485"/>
        <v>#REF!</v>
      </c>
      <c r="O766" s="741" t="e">
        <f t="shared" si="486"/>
        <v>#REF!</v>
      </c>
    </row>
    <row r="767" spans="1:15" s="298" customFormat="1" ht="17.100000000000001" hidden="1" customHeight="1">
      <c r="A767" s="736" t="e">
        <f t="shared" si="452"/>
        <v>#REF!</v>
      </c>
      <c r="B767" s="296" t="s">
        <v>843</v>
      </c>
      <c r="C767" s="296" t="s">
        <v>844</v>
      </c>
      <c r="D767" s="297" t="s">
        <v>59</v>
      </c>
      <c r="E767" s="788"/>
      <c r="F767" s="738"/>
      <c r="G767" s="738" t="e">
        <f>#REF!</f>
        <v>#REF!</v>
      </c>
      <c r="H767" s="738"/>
      <c r="I767" s="739">
        <f t="shared" si="492"/>
        <v>0</v>
      </c>
      <c r="J767" s="739" t="e">
        <f t="shared" si="493"/>
        <v>#REF!</v>
      </c>
      <c r="K767" s="740">
        <f t="shared" si="494"/>
        <v>0</v>
      </c>
      <c r="L767" s="735" t="e">
        <f t="shared" si="491"/>
        <v>#REF!</v>
      </c>
      <c r="N767" s="741" t="e">
        <f t="shared" si="485"/>
        <v>#REF!</v>
      </c>
      <c r="O767" s="741" t="e">
        <f t="shared" si="486"/>
        <v>#REF!</v>
      </c>
    </row>
    <row r="768" spans="1:15" s="298" customFormat="1" ht="17.100000000000001" hidden="1" customHeight="1">
      <c r="A768" s="736" t="e">
        <f t="shared" si="452"/>
        <v>#REF!</v>
      </c>
      <c r="B768" s="296" t="s">
        <v>845</v>
      </c>
      <c r="C768" s="296" t="s">
        <v>846</v>
      </c>
      <c r="D768" s="297" t="s">
        <v>59</v>
      </c>
      <c r="E768" s="788"/>
      <c r="F768" s="738" t="e">
        <f>#REF!</f>
        <v>#REF!</v>
      </c>
      <c r="G768" s="738"/>
      <c r="H768" s="738"/>
      <c r="I768" s="739" t="e">
        <f t="shared" si="492"/>
        <v>#REF!</v>
      </c>
      <c r="J768" s="739">
        <f t="shared" si="493"/>
        <v>0</v>
      </c>
      <c r="K768" s="740">
        <f t="shared" si="494"/>
        <v>0</v>
      </c>
      <c r="L768" s="735" t="e">
        <f t="shared" si="491"/>
        <v>#REF!</v>
      </c>
      <c r="N768" s="741" t="e">
        <f t="shared" si="485"/>
        <v>#REF!</v>
      </c>
      <c r="O768" s="741" t="e">
        <f t="shared" si="486"/>
        <v>#REF!</v>
      </c>
    </row>
    <row r="769" spans="1:15" s="298" customFormat="1" ht="17.100000000000001" hidden="1" customHeight="1">
      <c r="A769" s="736" t="e">
        <f t="shared" si="452"/>
        <v>#REF!</v>
      </c>
      <c r="B769" s="296" t="s">
        <v>847</v>
      </c>
      <c r="C769" s="296" t="s">
        <v>848</v>
      </c>
      <c r="D769" s="297" t="s">
        <v>607</v>
      </c>
      <c r="E769" s="788"/>
      <c r="F769" s="738" t="e">
        <f>#REF!</f>
        <v>#REF!</v>
      </c>
      <c r="G769" s="738"/>
      <c r="H769" s="738"/>
      <c r="I769" s="739" t="e">
        <f t="shared" si="492"/>
        <v>#REF!</v>
      </c>
      <c r="J769" s="739">
        <f t="shared" si="493"/>
        <v>0</v>
      </c>
      <c r="K769" s="740">
        <f t="shared" si="494"/>
        <v>0</v>
      </c>
      <c r="L769" s="735" t="e">
        <f t="shared" si="491"/>
        <v>#REF!</v>
      </c>
      <c r="N769" s="741" t="e">
        <f t="shared" si="485"/>
        <v>#REF!</v>
      </c>
      <c r="O769" s="741" t="e">
        <f t="shared" si="486"/>
        <v>#REF!</v>
      </c>
    </row>
    <row r="770" spans="1:15" s="298" customFormat="1" ht="17.100000000000001" customHeight="1">
      <c r="A770" s="838" t="e">
        <f t="shared" si="452"/>
        <v>#REF!</v>
      </c>
      <c r="B770" s="296" t="s">
        <v>1746</v>
      </c>
      <c r="C770" s="737" t="s">
        <v>849</v>
      </c>
      <c r="D770" s="297" t="s">
        <v>0</v>
      </c>
      <c r="E770" s="788"/>
      <c r="F770" s="738"/>
      <c r="G770" s="738"/>
      <c r="H770" s="738"/>
      <c r="I770" s="739"/>
      <c r="J770" s="739"/>
      <c r="K770" s="740"/>
      <c r="L770" s="735">
        <f t="shared" si="491"/>
        <v>1</v>
      </c>
      <c r="N770" s="741">
        <f t="shared" si="485"/>
        <v>0</v>
      </c>
      <c r="O770" s="741">
        <f t="shared" si="486"/>
        <v>0</v>
      </c>
    </row>
    <row r="771" spans="1:15" s="298" customFormat="1" ht="17.100000000000001" customHeight="1">
      <c r="A771" s="736" t="e">
        <f t="shared" si="452"/>
        <v>#REF!</v>
      </c>
      <c r="B771" s="296" t="s">
        <v>1582</v>
      </c>
      <c r="C771" s="296" t="s">
        <v>1958</v>
      </c>
      <c r="D771" s="297" t="s">
        <v>2</v>
      </c>
      <c r="E771" s="788"/>
      <c r="F771" s="738" t="e">
        <f>#REF!</f>
        <v>#REF!</v>
      </c>
      <c r="G771" s="738" t="e">
        <f>#REF!</f>
        <v>#REF!</v>
      </c>
      <c r="H771" s="738" t="e">
        <f>#REF!</f>
        <v>#REF!</v>
      </c>
      <c r="I771" s="739" t="e">
        <f t="shared" ref="I771:I777" si="495">E771*F771</f>
        <v>#REF!</v>
      </c>
      <c r="J771" s="739" t="e">
        <f t="shared" ref="J771:J777" si="496">E771*G771</f>
        <v>#REF!</v>
      </c>
      <c r="K771" s="740" t="e">
        <f t="shared" ref="K771:K777" si="497">E771*H771</f>
        <v>#REF!</v>
      </c>
      <c r="L771" s="735" t="e">
        <f t="shared" si="491"/>
        <v>#REF!</v>
      </c>
      <c r="N771" s="741" t="e">
        <f t="shared" si="485"/>
        <v>#REF!</v>
      </c>
      <c r="O771" s="741" t="e">
        <f t="shared" si="486"/>
        <v>#REF!</v>
      </c>
    </row>
    <row r="772" spans="1:15" s="298" customFormat="1" ht="17.100000000000001" customHeight="1">
      <c r="A772" s="736" t="e">
        <f t="shared" si="452"/>
        <v>#REF!</v>
      </c>
      <c r="B772" s="296" t="s">
        <v>817</v>
      </c>
      <c r="C772" s="296" t="s">
        <v>850</v>
      </c>
      <c r="D772" s="297" t="s">
        <v>9</v>
      </c>
      <c r="E772" s="788"/>
      <c r="F772" s="738" t="e">
        <f>#REF!</f>
        <v>#REF!</v>
      </c>
      <c r="G772" s="738" t="e">
        <f>#REF!</f>
        <v>#REF!</v>
      </c>
      <c r="H772" s="738" t="e">
        <f>#REF!</f>
        <v>#REF!</v>
      </c>
      <c r="I772" s="739" t="e">
        <f t="shared" si="495"/>
        <v>#REF!</v>
      </c>
      <c r="J772" s="739" t="e">
        <f t="shared" si="496"/>
        <v>#REF!</v>
      </c>
      <c r="K772" s="740" t="e">
        <f t="shared" si="497"/>
        <v>#REF!</v>
      </c>
      <c r="L772" s="735" t="e">
        <f t="shared" si="491"/>
        <v>#REF!</v>
      </c>
      <c r="N772" s="741" t="e">
        <f t="shared" si="485"/>
        <v>#REF!</v>
      </c>
      <c r="O772" s="741" t="e">
        <f t="shared" si="486"/>
        <v>#REF!</v>
      </c>
    </row>
    <row r="773" spans="1:15" s="298" customFormat="1" ht="17.100000000000001" hidden="1" customHeight="1">
      <c r="A773" s="736" t="e">
        <f t="shared" si="452"/>
        <v>#REF!</v>
      </c>
      <c r="B773" s="296" t="s">
        <v>1583</v>
      </c>
      <c r="C773" s="296" t="s">
        <v>850</v>
      </c>
      <c r="D773" s="297" t="s">
        <v>9</v>
      </c>
      <c r="E773" s="788"/>
      <c r="F773" s="738" t="e">
        <f>#REF!</f>
        <v>#REF!</v>
      </c>
      <c r="G773" s="738" t="e">
        <f>#REF!</f>
        <v>#REF!</v>
      </c>
      <c r="H773" s="738" t="e">
        <f>#REF!</f>
        <v>#REF!</v>
      </c>
      <c r="I773" s="739" t="e">
        <f t="shared" si="495"/>
        <v>#REF!</v>
      </c>
      <c r="J773" s="739" t="e">
        <f t="shared" si="496"/>
        <v>#REF!</v>
      </c>
      <c r="K773" s="740" t="e">
        <f t="shared" si="497"/>
        <v>#REF!</v>
      </c>
      <c r="L773" s="735" t="e">
        <f t="shared" si="491"/>
        <v>#REF!</v>
      </c>
      <c r="N773" s="741" t="e">
        <f t="shared" si="485"/>
        <v>#REF!</v>
      </c>
      <c r="O773" s="741" t="e">
        <f t="shared" si="486"/>
        <v>#REF!</v>
      </c>
    </row>
    <row r="774" spans="1:15" s="298" customFormat="1" ht="17.100000000000001" customHeight="1">
      <c r="A774" s="736" t="e">
        <f t="shared" si="452"/>
        <v>#REF!</v>
      </c>
      <c r="B774" s="296" t="s">
        <v>1395</v>
      </c>
      <c r="C774" s="296" t="s">
        <v>851</v>
      </c>
      <c r="D774" s="297" t="s">
        <v>2</v>
      </c>
      <c r="E774" s="788"/>
      <c r="F774" s="738" t="e">
        <f>#REF!</f>
        <v>#REF!</v>
      </c>
      <c r="G774" s="738" t="e">
        <f>#REF!</f>
        <v>#REF!</v>
      </c>
      <c r="H774" s="738" t="e">
        <f>#REF!</f>
        <v>#REF!</v>
      </c>
      <c r="I774" s="739" t="e">
        <f t="shared" si="495"/>
        <v>#REF!</v>
      </c>
      <c r="J774" s="739" t="e">
        <f t="shared" si="496"/>
        <v>#REF!</v>
      </c>
      <c r="K774" s="740" t="e">
        <f t="shared" si="497"/>
        <v>#REF!</v>
      </c>
      <c r="L774" s="735" t="e">
        <f t="shared" si="491"/>
        <v>#REF!</v>
      </c>
      <c r="N774" s="741" t="e">
        <f t="shared" si="485"/>
        <v>#REF!</v>
      </c>
      <c r="O774" s="741" t="e">
        <f t="shared" si="486"/>
        <v>#REF!</v>
      </c>
    </row>
    <row r="775" spans="1:15" s="298" customFormat="1" ht="17.100000000000001" customHeight="1">
      <c r="A775" s="736" t="e">
        <f t="shared" si="452"/>
        <v>#REF!</v>
      </c>
      <c r="B775" s="296" t="s">
        <v>84</v>
      </c>
      <c r="C775" s="296" t="s">
        <v>816</v>
      </c>
      <c r="D775" s="297" t="s">
        <v>9</v>
      </c>
      <c r="E775" s="788"/>
      <c r="F775" s="738" t="e">
        <f>#REF!</f>
        <v>#REF!</v>
      </c>
      <c r="G775" s="738" t="e">
        <f>#REF!</f>
        <v>#REF!</v>
      </c>
      <c r="H775" s="738" t="e">
        <f>#REF!</f>
        <v>#REF!</v>
      </c>
      <c r="I775" s="739" t="e">
        <f t="shared" si="495"/>
        <v>#REF!</v>
      </c>
      <c r="J775" s="739" t="e">
        <f t="shared" si="496"/>
        <v>#REF!</v>
      </c>
      <c r="K775" s="740" t="e">
        <f t="shared" si="497"/>
        <v>#REF!</v>
      </c>
      <c r="L775" s="735" t="e">
        <f t="shared" si="491"/>
        <v>#REF!</v>
      </c>
      <c r="N775" s="741" t="e">
        <f t="shared" si="485"/>
        <v>#REF!</v>
      </c>
      <c r="O775" s="741" t="e">
        <f t="shared" si="486"/>
        <v>#REF!</v>
      </c>
    </row>
    <row r="776" spans="1:15" s="298" customFormat="1" ht="17.100000000000001" customHeight="1">
      <c r="A776" s="736" t="e">
        <f t="shared" si="452"/>
        <v>#REF!</v>
      </c>
      <c r="B776" s="296" t="s">
        <v>573</v>
      </c>
      <c r="C776" s="296" t="s">
        <v>852</v>
      </c>
      <c r="D776" s="297" t="s">
        <v>2</v>
      </c>
      <c r="E776" s="788"/>
      <c r="F776" s="738" t="e">
        <f>#REF!</f>
        <v>#REF!</v>
      </c>
      <c r="G776" s="738" t="e">
        <f>#REF!</f>
        <v>#REF!</v>
      </c>
      <c r="H776" s="738"/>
      <c r="I776" s="739" t="e">
        <f t="shared" si="495"/>
        <v>#REF!</v>
      </c>
      <c r="J776" s="739" t="e">
        <f t="shared" si="496"/>
        <v>#REF!</v>
      </c>
      <c r="K776" s="740">
        <f t="shared" si="497"/>
        <v>0</v>
      </c>
      <c r="L776" s="735" t="e">
        <f t="shared" si="491"/>
        <v>#REF!</v>
      </c>
      <c r="N776" s="741" t="e">
        <f t="shared" si="485"/>
        <v>#REF!</v>
      </c>
      <c r="O776" s="741" t="e">
        <f t="shared" si="486"/>
        <v>#REF!</v>
      </c>
    </row>
    <row r="777" spans="1:15" s="298" customFormat="1" ht="17.100000000000001" customHeight="1">
      <c r="A777" s="736" t="e">
        <f t="shared" si="452"/>
        <v>#REF!</v>
      </c>
      <c r="B777" s="296" t="s">
        <v>1814</v>
      </c>
      <c r="C777" s="296" t="s">
        <v>853</v>
      </c>
      <c r="D777" s="297" t="s">
        <v>551</v>
      </c>
      <c r="E777" s="788"/>
      <c r="F777" s="738" t="e">
        <f>#REF!</f>
        <v>#REF!</v>
      </c>
      <c r="G777" s="738" t="e">
        <f>#REF!</f>
        <v>#REF!</v>
      </c>
      <c r="H777" s="738"/>
      <c r="I777" s="739" t="e">
        <f t="shared" si="495"/>
        <v>#REF!</v>
      </c>
      <c r="J777" s="739" t="e">
        <f t="shared" si="496"/>
        <v>#REF!</v>
      </c>
      <c r="K777" s="740">
        <f t="shared" si="497"/>
        <v>0</v>
      </c>
      <c r="L777" s="735" t="e">
        <f t="shared" si="491"/>
        <v>#REF!</v>
      </c>
      <c r="N777" s="741" t="e">
        <f t="shared" si="485"/>
        <v>#REF!</v>
      </c>
      <c r="O777" s="741" t="e">
        <f t="shared" si="486"/>
        <v>#REF!</v>
      </c>
    </row>
    <row r="778" spans="1:15" s="298" customFormat="1" ht="17.100000000000001" customHeight="1">
      <c r="A778" s="838" t="e">
        <f t="shared" si="452"/>
        <v>#REF!</v>
      </c>
      <c r="B778" s="296" t="s">
        <v>1746</v>
      </c>
      <c r="C778" s="737" t="s">
        <v>1965</v>
      </c>
      <c r="D778" s="297" t="s">
        <v>0</v>
      </c>
      <c r="E778" s="788"/>
      <c r="F778" s="738"/>
      <c r="G778" s="738"/>
      <c r="H778" s="738"/>
      <c r="I778" s="739"/>
      <c r="J778" s="739"/>
      <c r="K778" s="740"/>
      <c r="L778" s="735">
        <f t="shared" si="491"/>
        <v>1</v>
      </c>
      <c r="N778" s="741">
        <f t="shared" si="485"/>
        <v>0</v>
      </c>
      <c r="O778" s="741">
        <f t="shared" si="486"/>
        <v>0</v>
      </c>
    </row>
    <row r="779" spans="1:15" s="298" customFormat="1" ht="17.100000000000001" customHeight="1">
      <c r="A779" s="736" t="e">
        <f t="shared" si="452"/>
        <v>#REF!</v>
      </c>
      <c r="B779" s="296" t="s">
        <v>692</v>
      </c>
      <c r="C779" s="296" t="s">
        <v>1959</v>
      </c>
      <c r="D779" s="297" t="s">
        <v>2</v>
      </c>
      <c r="E779" s="788"/>
      <c r="F779" s="738"/>
      <c r="G779" s="738" t="e">
        <f>#REF!</f>
        <v>#REF!</v>
      </c>
      <c r="H779" s="738" t="e">
        <f>#REF!</f>
        <v>#REF!</v>
      </c>
      <c r="I779" s="739">
        <f t="shared" ref="I779:I787" si="498">E779*F779</f>
        <v>0</v>
      </c>
      <c r="J779" s="739" t="e">
        <f t="shared" ref="J779:J787" si="499">E779*G779</f>
        <v>#REF!</v>
      </c>
      <c r="K779" s="740" t="e">
        <f t="shared" ref="K779:K787" si="500">E779*H779</f>
        <v>#REF!</v>
      </c>
      <c r="L779" s="735" t="e">
        <f t="shared" si="491"/>
        <v>#REF!</v>
      </c>
      <c r="N779" s="741" t="e">
        <f t="shared" si="485"/>
        <v>#REF!</v>
      </c>
      <c r="O779" s="741" t="e">
        <f t="shared" si="486"/>
        <v>#REF!</v>
      </c>
    </row>
    <row r="780" spans="1:15" s="298" customFormat="1" ht="17.100000000000001" customHeight="1">
      <c r="A780" s="736" t="e">
        <f t="shared" ref="A780:A843" si="501">IF(SUM(F780:H780)&lt;&gt;0,A779+L780,A779)</f>
        <v>#REF!</v>
      </c>
      <c r="B780" s="296" t="s">
        <v>1395</v>
      </c>
      <c r="C780" s="296" t="s">
        <v>1979</v>
      </c>
      <c r="D780" s="297" t="s">
        <v>2</v>
      </c>
      <c r="E780" s="788"/>
      <c r="F780" s="738" t="e">
        <f>#REF!</f>
        <v>#REF!</v>
      </c>
      <c r="G780" s="738" t="e">
        <f>#REF!</f>
        <v>#REF!</v>
      </c>
      <c r="H780" s="738" t="e">
        <f>#REF!</f>
        <v>#REF!</v>
      </c>
      <c r="I780" s="739" t="e">
        <f t="shared" si="498"/>
        <v>#REF!</v>
      </c>
      <c r="J780" s="739" t="e">
        <f t="shared" si="499"/>
        <v>#REF!</v>
      </c>
      <c r="K780" s="740" t="e">
        <f t="shared" si="500"/>
        <v>#REF!</v>
      </c>
      <c r="L780" s="735" t="e">
        <f t="shared" si="491"/>
        <v>#REF!</v>
      </c>
      <c r="N780" s="741" t="e">
        <f t="shared" si="485"/>
        <v>#REF!</v>
      </c>
      <c r="O780" s="741" t="e">
        <f t="shared" si="486"/>
        <v>#REF!</v>
      </c>
    </row>
    <row r="781" spans="1:15" s="298" customFormat="1" ht="17.100000000000001" customHeight="1">
      <c r="A781" s="736" t="e">
        <f t="shared" si="501"/>
        <v>#REF!</v>
      </c>
      <c r="B781" s="296" t="s">
        <v>84</v>
      </c>
      <c r="C781" s="296" t="s">
        <v>816</v>
      </c>
      <c r="D781" s="297" t="s">
        <v>9</v>
      </c>
      <c r="E781" s="788"/>
      <c r="F781" s="738" t="e">
        <f>#REF!</f>
        <v>#REF!</v>
      </c>
      <c r="G781" s="738" t="e">
        <f>#REF!</f>
        <v>#REF!</v>
      </c>
      <c r="H781" s="738" t="e">
        <f>#REF!</f>
        <v>#REF!</v>
      </c>
      <c r="I781" s="739" t="e">
        <f t="shared" si="498"/>
        <v>#REF!</v>
      </c>
      <c r="J781" s="739" t="e">
        <f t="shared" si="499"/>
        <v>#REF!</v>
      </c>
      <c r="K781" s="740" t="e">
        <f t="shared" si="500"/>
        <v>#REF!</v>
      </c>
      <c r="L781" s="735" t="e">
        <f t="shared" si="491"/>
        <v>#REF!</v>
      </c>
      <c r="N781" s="741" t="e">
        <f t="shared" si="485"/>
        <v>#REF!</v>
      </c>
      <c r="O781" s="741" t="e">
        <f t="shared" si="486"/>
        <v>#REF!</v>
      </c>
    </row>
    <row r="782" spans="1:15" s="298" customFormat="1" ht="17.100000000000001" customHeight="1">
      <c r="A782" s="736" t="e">
        <f t="shared" si="501"/>
        <v>#REF!</v>
      </c>
      <c r="B782" s="296" t="s">
        <v>690</v>
      </c>
      <c r="C782" s="296" t="s">
        <v>855</v>
      </c>
      <c r="D782" s="297" t="s">
        <v>2</v>
      </c>
      <c r="E782" s="788"/>
      <c r="F782" s="738" t="e">
        <f>#REF!</f>
        <v>#REF!</v>
      </c>
      <c r="G782" s="738" t="e">
        <f>#REF!</f>
        <v>#REF!</v>
      </c>
      <c r="H782" s="738" t="e">
        <f>#REF!</f>
        <v>#REF!</v>
      </c>
      <c r="I782" s="739" t="e">
        <f t="shared" si="498"/>
        <v>#REF!</v>
      </c>
      <c r="J782" s="739" t="e">
        <f t="shared" si="499"/>
        <v>#REF!</v>
      </c>
      <c r="K782" s="740" t="e">
        <f t="shared" si="500"/>
        <v>#REF!</v>
      </c>
      <c r="L782" s="735" t="e">
        <f t="shared" si="491"/>
        <v>#REF!</v>
      </c>
      <c r="N782" s="741" t="e">
        <f t="shared" si="485"/>
        <v>#REF!</v>
      </c>
      <c r="O782" s="741" t="e">
        <f t="shared" si="486"/>
        <v>#REF!</v>
      </c>
    </row>
    <row r="783" spans="1:15" s="298" customFormat="1" ht="17.100000000000001" customHeight="1">
      <c r="A783" s="736" t="e">
        <f t="shared" si="501"/>
        <v>#REF!</v>
      </c>
      <c r="B783" s="296" t="s">
        <v>550</v>
      </c>
      <c r="C783" s="296" t="s">
        <v>812</v>
      </c>
      <c r="D783" s="297" t="s">
        <v>2</v>
      </c>
      <c r="E783" s="788"/>
      <c r="F783" s="738"/>
      <c r="G783" s="738" t="e">
        <f>#REF!</f>
        <v>#REF!</v>
      </c>
      <c r="H783" s="738" t="e">
        <f>#REF!</f>
        <v>#REF!</v>
      </c>
      <c r="I783" s="739">
        <f t="shared" si="498"/>
        <v>0</v>
      </c>
      <c r="J783" s="739" t="e">
        <f t="shared" si="499"/>
        <v>#REF!</v>
      </c>
      <c r="K783" s="740" t="e">
        <f t="shared" si="500"/>
        <v>#REF!</v>
      </c>
      <c r="L783" s="735" t="e">
        <f t="shared" ref="L783" si="502">IF(OR(SUM(I783:K783)&lt;&gt;0,B783="*"),$L$5,0)</f>
        <v>#REF!</v>
      </c>
      <c r="N783" s="741" t="e">
        <f t="shared" ref="N783" si="503">SUM(F783:H783)*1.278</f>
        <v>#REF!</v>
      </c>
      <c r="O783" s="741" t="e">
        <f t="shared" si="486"/>
        <v>#REF!</v>
      </c>
    </row>
    <row r="784" spans="1:15" s="298" customFormat="1" ht="17.100000000000001" customHeight="1">
      <c r="A784" s="736" t="e">
        <f t="shared" si="501"/>
        <v>#REF!</v>
      </c>
      <c r="B784" s="296" t="s">
        <v>1541</v>
      </c>
      <c r="C784" s="296" t="s">
        <v>856</v>
      </c>
      <c r="D784" s="297" t="s">
        <v>2</v>
      </c>
      <c r="E784" s="788"/>
      <c r="F784" s="738" t="e">
        <f>#REF!</f>
        <v>#REF!</v>
      </c>
      <c r="G784" s="738" t="e">
        <f>#REF!</f>
        <v>#REF!</v>
      </c>
      <c r="H784" s="738" t="e">
        <f>#REF!</f>
        <v>#REF!</v>
      </c>
      <c r="I784" s="739" t="e">
        <f t="shared" si="498"/>
        <v>#REF!</v>
      </c>
      <c r="J784" s="739" t="e">
        <f t="shared" si="499"/>
        <v>#REF!</v>
      </c>
      <c r="K784" s="740" t="e">
        <f t="shared" si="500"/>
        <v>#REF!</v>
      </c>
      <c r="L784" s="735" t="e">
        <f t="shared" ref="L784:L795" si="504">IF(OR(SUM(I784:K784)&lt;&gt;0,B784="*"),$L$5,0)</f>
        <v>#REF!</v>
      </c>
      <c r="N784" s="741" t="e">
        <f t="shared" ref="N784:N795" si="505">SUM(F784:H784)*1.278</f>
        <v>#REF!</v>
      </c>
      <c r="O784" s="741" t="e">
        <f t="shared" si="486"/>
        <v>#REF!</v>
      </c>
    </row>
    <row r="785" spans="1:15" s="298" customFormat="1" ht="17.100000000000001" customHeight="1">
      <c r="A785" s="736" t="e">
        <f t="shared" si="501"/>
        <v>#REF!</v>
      </c>
      <c r="B785" s="296" t="s">
        <v>547</v>
      </c>
      <c r="C785" s="296" t="s">
        <v>548</v>
      </c>
      <c r="D785" s="297" t="s">
        <v>9</v>
      </c>
      <c r="E785" s="788"/>
      <c r="F785" s="738" t="e">
        <f>#REF!</f>
        <v>#REF!</v>
      </c>
      <c r="G785" s="738" t="e">
        <f>#REF!</f>
        <v>#REF!</v>
      </c>
      <c r="H785" s="738" t="e">
        <f>#REF!</f>
        <v>#REF!</v>
      </c>
      <c r="I785" s="739" t="e">
        <f t="shared" si="498"/>
        <v>#REF!</v>
      </c>
      <c r="J785" s="739" t="e">
        <f t="shared" si="499"/>
        <v>#REF!</v>
      </c>
      <c r="K785" s="740" t="e">
        <f t="shared" si="500"/>
        <v>#REF!</v>
      </c>
      <c r="L785" s="735" t="e">
        <f t="shared" si="504"/>
        <v>#REF!</v>
      </c>
      <c r="N785" s="741" t="e">
        <f t="shared" si="505"/>
        <v>#REF!</v>
      </c>
      <c r="O785" s="741" t="e">
        <f t="shared" si="486"/>
        <v>#REF!</v>
      </c>
    </row>
    <row r="786" spans="1:15" s="298" customFormat="1" ht="17.100000000000001" customHeight="1">
      <c r="A786" s="736" t="e">
        <f t="shared" si="501"/>
        <v>#REF!</v>
      </c>
      <c r="B786" s="296" t="s">
        <v>857</v>
      </c>
      <c r="C786" s="296" t="s">
        <v>858</v>
      </c>
      <c r="D786" s="297" t="s">
        <v>2</v>
      </c>
      <c r="E786" s="788"/>
      <c r="F786" s="738" t="e">
        <f>#REF!</f>
        <v>#REF!</v>
      </c>
      <c r="G786" s="738" t="e">
        <f>#REF!</f>
        <v>#REF!</v>
      </c>
      <c r="H786" s="738"/>
      <c r="I786" s="739" t="e">
        <f t="shared" si="498"/>
        <v>#REF!</v>
      </c>
      <c r="J786" s="739" t="e">
        <f t="shared" si="499"/>
        <v>#REF!</v>
      </c>
      <c r="K786" s="740">
        <f t="shared" si="500"/>
        <v>0</v>
      </c>
      <c r="L786" s="735" t="e">
        <f t="shared" si="504"/>
        <v>#REF!</v>
      </c>
      <c r="N786" s="741" t="e">
        <f t="shared" si="505"/>
        <v>#REF!</v>
      </c>
      <c r="O786" s="741" t="e">
        <f t="shared" si="486"/>
        <v>#REF!</v>
      </c>
    </row>
    <row r="787" spans="1:15" s="298" customFormat="1" ht="17.100000000000001" customHeight="1">
      <c r="A787" s="736" t="e">
        <f t="shared" si="501"/>
        <v>#REF!</v>
      </c>
      <c r="B787" s="296" t="s">
        <v>859</v>
      </c>
      <c r="C787" s="296" t="s">
        <v>860</v>
      </c>
      <c r="D787" s="297" t="s">
        <v>310</v>
      </c>
      <c r="E787" s="788"/>
      <c r="F787" s="738" t="e">
        <f>#REF!</f>
        <v>#REF!</v>
      </c>
      <c r="G787" s="738"/>
      <c r="H787" s="738"/>
      <c r="I787" s="739" t="e">
        <f t="shared" si="498"/>
        <v>#REF!</v>
      </c>
      <c r="J787" s="739">
        <f t="shared" si="499"/>
        <v>0</v>
      </c>
      <c r="K787" s="740">
        <f t="shared" si="500"/>
        <v>0</v>
      </c>
      <c r="L787" s="735" t="e">
        <f t="shared" si="504"/>
        <v>#REF!</v>
      </c>
      <c r="N787" s="741" t="e">
        <f t="shared" si="505"/>
        <v>#REF!</v>
      </c>
      <c r="O787" s="741" t="e">
        <f t="shared" si="486"/>
        <v>#REF!</v>
      </c>
    </row>
    <row r="788" spans="1:15" s="298" customFormat="1" ht="17.100000000000001" customHeight="1">
      <c r="A788" s="838" t="e">
        <f t="shared" si="501"/>
        <v>#REF!</v>
      </c>
      <c r="B788" s="296" t="s">
        <v>1746</v>
      </c>
      <c r="C788" s="737" t="s">
        <v>1966</v>
      </c>
      <c r="D788" s="297" t="s">
        <v>0</v>
      </c>
      <c r="E788" s="788"/>
      <c r="F788" s="738"/>
      <c r="G788" s="738"/>
      <c r="H788" s="738"/>
      <c r="I788" s="739"/>
      <c r="J788" s="739"/>
      <c r="K788" s="740"/>
      <c r="L788" s="735">
        <f t="shared" si="504"/>
        <v>1</v>
      </c>
      <c r="N788" s="741">
        <f t="shared" si="505"/>
        <v>0</v>
      </c>
      <c r="O788" s="741">
        <f t="shared" si="486"/>
        <v>0</v>
      </c>
    </row>
    <row r="789" spans="1:15" s="298" customFormat="1" ht="17.100000000000001" customHeight="1">
      <c r="A789" s="736" t="e">
        <f t="shared" si="501"/>
        <v>#REF!</v>
      </c>
      <c r="B789" s="296" t="s">
        <v>1447</v>
      </c>
      <c r="C789" s="296" t="s">
        <v>1448</v>
      </c>
      <c r="D789" s="297" t="s">
        <v>2</v>
      </c>
      <c r="E789" s="788"/>
      <c r="F789" s="738"/>
      <c r="G789" s="738" t="e">
        <f>#REF!</f>
        <v>#REF!</v>
      </c>
      <c r="H789" s="738" t="e">
        <f>#REF!</f>
        <v>#REF!</v>
      </c>
      <c r="I789" s="739">
        <f>E789*F789</f>
        <v>0</v>
      </c>
      <c r="J789" s="739" t="e">
        <f>E789*G789</f>
        <v>#REF!</v>
      </c>
      <c r="K789" s="740" t="e">
        <f>E789*H789</f>
        <v>#REF!</v>
      </c>
      <c r="L789" s="735" t="e">
        <f t="shared" ref="L789:L794" si="506">IF(OR(SUM(I789:K789)&lt;&gt;0,B789="*"),$L$5,0)</f>
        <v>#REF!</v>
      </c>
      <c r="N789" s="741" t="e">
        <f t="shared" ref="N789" si="507">SUM(F789:H789)*1.278</f>
        <v>#REF!</v>
      </c>
      <c r="O789" s="741" t="e">
        <f t="shared" si="486"/>
        <v>#REF!</v>
      </c>
    </row>
    <row r="790" spans="1:15" s="298" customFormat="1" ht="17.100000000000001" customHeight="1">
      <c r="A790" s="736" t="e">
        <f t="shared" si="501"/>
        <v>#REF!</v>
      </c>
      <c r="B790" s="296" t="s">
        <v>574</v>
      </c>
      <c r="C790" s="296" t="s">
        <v>1449</v>
      </c>
      <c r="D790" s="297" t="s">
        <v>2</v>
      </c>
      <c r="E790" s="788"/>
      <c r="F790" s="738"/>
      <c r="G790" s="738" t="e">
        <f>#REF!</f>
        <v>#REF!</v>
      </c>
      <c r="H790" s="738" t="e">
        <f>#REF!</f>
        <v>#REF!</v>
      </c>
      <c r="I790" s="739">
        <f t="shared" ref="I790" si="508">E790*F790</f>
        <v>0</v>
      </c>
      <c r="J790" s="739" t="e">
        <f t="shared" ref="J790" si="509">E790*G790</f>
        <v>#REF!</v>
      </c>
      <c r="K790" s="740" t="e">
        <f t="shared" ref="K790" si="510">E790*H790</f>
        <v>#REF!</v>
      </c>
      <c r="L790" s="735" t="e">
        <f t="shared" si="506"/>
        <v>#REF!</v>
      </c>
      <c r="N790" s="741" t="e">
        <f t="shared" ref="N790:N794" si="511">SUM(F790:H790)*1.278</f>
        <v>#REF!</v>
      </c>
      <c r="O790" s="741" t="e">
        <f t="shared" si="486"/>
        <v>#REF!</v>
      </c>
    </row>
    <row r="791" spans="1:15" s="298" customFormat="1" ht="17.100000000000001" hidden="1" customHeight="1">
      <c r="A791" s="736" t="e">
        <f t="shared" si="501"/>
        <v>#REF!</v>
      </c>
      <c r="B791" s="296" t="s">
        <v>1450</v>
      </c>
      <c r="C791" s="296" t="s">
        <v>1451</v>
      </c>
      <c r="D791" s="297" t="s">
        <v>2</v>
      </c>
      <c r="E791" s="788"/>
      <c r="F791" s="738"/>
      <c r="G791" s="738" t="e">
        <f>#REF!</f>
        <v>#REF!</v>
      </c>
      <c r="H791" s="738" t="e">
        <f>#REF!</f>
        <v>#REF!</v>
      </c>
      <c r="I791" s="739">
        <f>E791*F791</f>
        <v>0</v>
      </c>
      <c r="J791" s="739" t="e">
        <f>E791*G791</f>
        <v>#REF!</v>
      </c>
      <c r="K791" s="740" t="e">
        <f>E791*H791</f>
        <v>#REF!</v>
      </c>
      <c r="L791" s="735" t="e">
        <f t="shared" si="506"/>
        <v>#REF!</v>
      </c>
      <c r="N791" s="741" t="e">
        <f t="shared" si="511"/>
        <v>#REF!</v>
      </c>
      <c r="O791" s="741" t="e">
        <f t="shared" si="486"/>
        <v>#REF!</v>
      </c>
    </row>
    <row r="792" spans="1:15" s="298" customFormat="1" ht="17.100000000000001" hidden="1" customHeight="1">
      <c r="A792" s="736" t="e">
        <f t="shared" si="501"/>
        <v>#REF!</v>
      </c>
      <c r="B792" s="296" t="s">
        <v>1452</v>
      </c>
      <c r="C792" s="296" t="s">
        <v>1453</v>
      </c>
      <c r="D792" s="297" t="s">
        <v>2</v>
      </c>
      <c r="E792" s="788"/>
      <c r="F792" s="738"/>
      <c r="G792" s="738" t="e">
        <f>#REF!</f>
        <v>#REF!</v>
      </c>
      <c r="H792" s="738" t="e">
        <f>#REF!</f>
        <v>#REF!</v>
      </c>
      <c r="I792" s="739">
        <f t="shared" ref="I792:I794" si="512">E792*F792</f>
        <v>0</v>
      </c>
      <c r="J792" s="739" t="e">
        <f t="shared" ref="J792:J794" si="513">E792*G792</f>
        <v>#REF!</v>
      </c>
      <c r="K792" s="740" t="e">
        <f t="shared" ref="K792:K794" si="514">E792*H792</f>
        <v>#REF!</v>
      </c>
      <c r="L792" s="735" t="e">
        <f t="shared" si="506"/>
        <v>#REF!</v>
      </c>
      <c r="N792" s="741" t="e">
        <f t="shared" si="511"/>
        <v>#REF!</v>
      </c>
      <c r="O792" s="741" t="e">
        <f t="shared" si="486"/>
        <v>#REF!</v>
      </c>
    </row>
    <row r="793" spans="1:15" s="298" customFormat="1" ht="17.100000000000001" customHeight="1">
      <c r="A793" s="736" t="e">
        <f t="shared" si="501"/>
        <v>#REF!</v>
      </c>
      <c r="B793" s="296" t="s">
        <v>1454</v>
      </c>
      <c r="C793" s="296" t="s">
        <v>1455</v>
      </c>
      <c r="D793" s="297" t="s">
        <v>2</v>
      </c>
      <c r="E793" s="788"/>
      <c r="F793" s="738"/>
      <c r="G793" s="738" t="e">
        <f>#REF!</f>
        <v>#REF!</v>
      </c>
      <c r="H793" s="738" t="e">
        <f>#REF!</f>
        <v>#REF!</v>
      </c>
      <c r="I793" s="739">
        <f t="shared" si="512"/>
        <v>0</v>
      </c>
      <c r="J793" s="739" t="e">
        <f t="shared" si="513"/>
        <v>#REF!</v>
      </c>
      <c r="K793" s="740" t="e">
        <f t="shared" si="514"/>
        <v>#REF!</v>
      </c>
      <c r="L793" s="735" t="e">
        <f t="shared" si="506"/>
        <v>#REF!</v>
      </c>
      <c r="N793" s="741" t="e">
        <f t="shared" si="511"/>
        <v>#REF!</v>
      </c>
      <c r="O793" s="741" t="e">
        <f t="shared" si="486"/>
        <v>#REF!</v>
      </c>
    </row>
    <row r="794" spans="1:15" s="298" customFormat="1" ht="17.100000000000001" hidden="1" customHeight="1">
      <c r="A794" s="736" t="e">
        <f t="shared" si="501"/>
        <v>#REF!</v>
      </c>
      <c r="B794" s="296" t="s">
        <v>1654</v>
      </c>
      <c r="C794" s="296" t="s">
        <v>1655</v>
      </c>
      <c r="D794" s="297" t="s">
        <v>2</v>
      </c>
      <c r="E794" s="788"/>
      <c r="F794" s="738"/>
      <c r="G794" s="738"/>
      <c r="H794" s="738" t="e">
        <f>#REF!</f>
        <v>#REF!</v>
      </c>
      <c r="I794" s="739">
        <f t="shared" si="512"/>
        <v>0</v>
      </c>
      <c r="J794" s="739">
        <f t="shared" si="513"/>
        <v>0</v>
      </c>
      <c r="K794" s="740" t="e">
        <f t="shared" si="514"/>
        <v>#REF!</v>
      </c>
      <c r="L794" s="735" t="e">
        <f t="shared" si="506"/>
        <v>#REF!</v>
      </c>
      <c r="N794" s="741" t="e">
        <f t="shared" si="511"/>
        <v>#REF!</v>
      </c>
      <c r="O794" s="741" t="e">
        <f t="shared" si="486"/>
        <v>#REF!</v>
      </c>
    </row>
    <row r="795" spans="1:15" s="298" customFormat="1" ht="17.100000000000001" customHeight="1">
      <c r="A795" s="736" t="e">
        <f t="shared" si="501"/>
        <v>#REF!</v>
      </c>
      <c r="B795" s="296" t="s">
        <v>861</v>
      </c>
      <c r="C795" s="296" t="s">
        <v>1961</v>
      </c>
      <c r="D795" s="297" t="s">
        <v>2</v>
      </c>
      <c r="E795" s="788"/>
      <c r="F795" s="738"/>
      <c r="G795" s="738" t="e">
        <f>#REF!</f>
        <v>#REF!</v>
      </c>
      <c r="H795" s="738" t="e">
        <f>#REF!</f>
        <v>#REF!</v>
      </c>
      <c r="I795" s="739">
        <f t="shared" ref="I795:I820" si="515">E795*F795</f>
        <v>0</v>
      </c>
      <c r="J795" s="739" t="e">
        <f t="shared" ref="J795:J820" si="516">E795*G795</f>
        <v>#REF!</v>
      </c>
      <c r="K795" s="740" t="e">
        <f t="shared" ref="K795:K820" si="517">E795*H795</f>
        <v>#REF!</v>
      </c>
      <c r="L795" s="735" t="e">
        <f t="shared" si="504"/>
        <v>#REF!</v>
      </c>
      <c r="N795" s="741" t="e">
        <f t="shared" si="505"/>
        <v>#REF!</v>
      </c>
      <c r="O795" s="741" t="e">
        <f t="shared" si="486"/>
        <v>#REF!</v>
      </c>
    </row>
    <row r="796" spans="1:15" s="298" customFormat="1" ht="17.100000000000001" hidden="1" customHeight="1">
      <c r="A796" s="736" t="e">
        <f t="shared" si="501"/>
        <v>#REF!</v>
      </c>
      <c r="B796" s="296" t="s">
        <v>1440</v>
      </c>
      <c r="C796" s="296" t="s">
        <v>1441</v>
      </c>
      <c r="D796" s="297" t="s">
        <v>2</v>
      </c>
      <c r="E796" s="788"/>
      <c r="F796" s="738"/>
      <c r="G796" s="738" t="e">
        <f>#REF!</f>
        <v>#REF!</v>
      </c>
      <c r="H796" s="738" t="e">
        <f>#REF!</f>
        <v>#REF!</v>
      </c>
      <c r="I796" s="739">
        <f t="shared" si="515"/>
        <v>0</v>
      </c>
      <c r="J796" s="739" t="e">
        <f t="shared" si="516"/>
        <v>#REF!</v>
      </c>
      <c r="K796" s="740" t="e">
        <f t="shared" si="517"/>
        <v>#REF!</v>
      </c>
      <c r="L796" s="735" t="e">
        <f t="shared" ref="L796" si="518">IF(OR(SUM(I796:K796)&lt;&gt;0,B796="*"),$L$5,0)</f>
        <v>#REF!</v>
      </c>
      <c r="N796" s="741" t="e">
        <f t="shared" ref="N796" si="519">SUM(F796:H796)*1.278</f>
        <v>#REF!</v>
      </c>
      <c r="O796" s="741" t="e">
        <f t="shared" si="486"/>
        <v>#REF!</v>
      </c>
    </row>
    <row r="797" spans="1:15" s="298" customFormat="1" ht="17.100000000000001" hidden="1" customHeight="1">
      <c r="A797" s="736" t="e">
        <f t="shared" si="501"/>
        <v>#REF!</v>
      </c>
      <c r="B797" s="296" t="s">
        <v>572</v>
      </c>
      <c r="C797" s="296" t="s">
        <v>862</v>
      </c>
      <c r="D797" s="297" t="s">
        <v>2</v>
      </c>
      <c r="E797" s="788"/>
      <c r="F797" s="738"/>
      <c r="G797" s="738" t="e">
        <f>#REF!</f>
        <v>#REF!</v>
      </c>
      <c r="H797" s="738"/>
      <c r="I797" s="739">
        <f t="shared" si="515"/>
        <v>0</v>
      </c>
      <c r="J797" s="739" t="e">
        <f t="shared" si="516"/>
        <v>#REF!</v>
      </c>
      <c r="K797" s="740">
        <f t="shared" si="517"/>
        <v>0</v>
      </c>
      <c r="L797" s="735" t="e">
        <f t="shared" ref="L797:L807" si="520">IF(OR(SUM(I797:K797)&lt;&gt;0,B797="*"),$L$5,0)</f>
        <v>#REF!</v>
      </c>
      <c r="N797" s="741" t="e">
        <f t="shared" ref="N797:N807" si="521">SUM(F797:H797)*1.278</f>
        <v>#REF!</v>
      </c>
      <c r="O797" s="741" t="e">
        <f t="shared" si="486"/>
        <v>#REF!</v>
      </c>
    </row>
    <row r="798" spans="1:15" s="298" customFormat="1" ht="17.100000000000001" customHeight="1">
      <c r="A798" s="736" t="e">
        <f t="shared" si="501"/>
        <v>#REF!</v>
      </c>
      <c r="B798" s="296" t="s">
        <v>550</v>
      </c>
      <c r="C798" s="296" t="s">
        <v>812</v>
      </c>
      <c r="D798" s="297" t="s">
        <v>2</v>
      </c>
      <c r="E798" s="788"/>
      <c r="F798" s="738"/>
      <c r="G798" s="738" t="e">
        <f>#REF!</f>
        <v>#REF!</v>
      </c>
      <c r="H798" s="738" t="e">
        <f>#REF!</f>
        <v>#REF!</v>
      </c>
      <c r="I798" s="739">
        <f t="shared" si="515"/>
        <v>0</v>
      </c>
      <c r="J798" s="739" t="e">
        <f t="shared" si="516"/>
        <v>#REF!</v>
      </c>
      <c r="K798" s="740" t="e">
        <f t="shared" si="517"/>
        <v>#REF!</v>
      </c>
      <c r="L798" s="735" t="e">
        <f t="shared" si="520"/>
        <v>#REF!</v>
      </c>
      <c r="N798" s="741" t="e">
        <f t="shared" si="521"/>
        <v>#REF!</v>
      </c>
      <c r="O798" s="741" t="e">
        <f t="shared" si="486"/>
        <v>#REF!</v>
      </c>
    </row>
    <row r="799" spans="1:15" s="298" customFormat="1" ht="17.100000000000001" hidden="1" customHeight="1">
      <c r="A799" s="736" t="e">
        <f t="shared" si="501"/>
        <v>#REF!</v>
      </c>
      <c r="B799" s="296" t="s">
        <v>611</v>
      </c>
      <c r="C799" s="296" t="s">
        <v>863</v>
      </c>
      <c r="D799" s="297" t="s">
        <v>2</v>
      </c>
      <c r="E799" s="788"/>
      <c r="F799" s="738"/>
      <c r="G799" s="738" t="e">
        <f>#REF!</f>
        <v>#REF!</v>
      </c>
      <c r="H799" s="738" t="e">
        <f>#REF!</f>
        <v>#REF!</v>
      </c>
      <c r="I799" s="739">
        <f t="shared" si="515"/>
        <v>0</v>
      </c>
      <c r="J799" s="739" t="e">
        <f t="shared" si="516"/>
        <v>#REF!</v>
      </c>
      <c r="K799" s="740" t="e">
        <f t="shared" si="517"/>
        <v>#REF!</v>
      </c>
      <c r="L799" s="735" t="e">
        <f t="shared" si="520"/>
        <v>#REF!</v>
      </c>
      <c r="N799" s="741" t="e">
        <f t="shared" si="521"/>
        <v>#REF!</v>
      </c>
      <c r="O799" s="741" t="e">
        <f t="shared" si="486"/>
        <v>#REF!</v>
      </c>
    </row>
    <row r="800" spans="1:15" s="298" customFormat="1" ht="17.100000000000001" customHeight="1">
      <c r="A800" s="736" t="e">
        <f t="shared" si="501"/>
        <v>#REF!</v>
      </c>
      <c r="B800" s="296" t="s">
        <v>616</v>
      </c>
      <c r="C800" s="296" t="s">
        <v>864</v>
      </c>
      <c r="D800" s="297" t="s">
        <v>2</v>
      </c>
      <c r="E800" s="788"/>
      <c r="F800" s="738"/>
      <c r="G800" s="738" t="e">
        <f>#REF!</f>
        <v>#REF!</v>
      </c>
      <c r="H800" s="738" t="e">
        <f>#REF!</f>
        <v>#REF!</v>
      </c>
      <c r="I800" s="739">
        <f t="shared" si="515"/>
        <v>0</v>
      </c>
      <c r="J800" s="739" t="e">
        <f t="shared" si="516"/>
        <v>#REF!</v>
      </c>
      <c r="K800" s="740" t="e">
        <f t="shared" si="517"/>
        <v>#REF!</v>
      </c>
      <c r="L800" s="735" t="e">
        <f t="shared" si="520"/>
        <v>#REF!</v>
      </c>
      <c r="N800" s="741" t="e">
        <f t="shared" si="521"/>
        <v>#REF!</v>
      </c>
      <c r="O800" s="741" t="e">
        <f t="shared" si="486"/>
        <v>#REF!</v>
      </c>
    </row>
    <row r="801" spans="1:15" s="298" customFormat="1" ht="17.100000000000001" hidden="1" customHeight="1">
      <c r="A801" s="736" t="e">
        <f t="shared" si="501"/>
        <v>#REF!</v>
      </c>
      <c r="B801" s="296" t="s">
        <v>600</v>
      </c>
      <c r="C801" s="296" t="s">
        <v>865</v>
      </c>
      <c r="D801" s="297" t="s">
        <v>2</v>
      </c>
      <c r="E801" s="788"/>
      <c r="F801" s="738" t="e">
        <f>#REF!</f>
        <v>#REF!</v>
      </c>
      <c r="G801" s="738"/>
      <c r="H801" s="738"/>
      <c r="I801" s="739" t="e">
        <f t="shared" si="515"/>
        <v>#REF!</v>
      </c>
      <c r="J801" s="739">
        <f t="shared" si="516"/>
        <v>0</v>
      </c>
      <c r="K801" s="740">
        <f t="shared" si="517"/>
        <v>0</v>
      </c>
      <c r="L801" s="735" t="e">
        <f t="shared" si="520"/>
        <v>#REF!</v>
      </c>
      <c r="N801" s="741" t="e">
        <f t="shared" si="521"/>
        <v>#REF!</v>
      </c>
      <c r="O801" s="741" t="e">
        <f t="shared" si="486"/>
        <v>#REF!</v>
      </c>
    </row>
    <row r="802" spans="1:15" s="298" customFormat="1" ht="17.100000000000001" customHeight="1">
      <c r="A802" s="736" t="e">
        <f t="shared" si="501"/>
        <v>#REF!</v>
      </c>
      <c r="B802" s="296" t="s">
        <v>617</v>
      </c>
      <c r="C802" s="296" t="s">
        <v>1968</v>
      </c>
      <c r="D802" s="297" t="s">
        <v>2</v>
      </c>
      <c r="E802" s="788"/>
      <c r="F802" s="738"/>
      <c r="G802" s="738" t="e">
        <f>#REF!</f>
        <v>#REF!</v>
      </c>
      <c r="H802" s="738" t="e">
        <f>#REF!</f>
        <v>#REF!</v>
      </c>
      <c r="I802" s="739">
        <f t="shared" si="515"/>
        <v>0</v>
      </c>
      <c r="J802" s="739" t="e">
        <f t="shared" si="516"/>
        <v>#REF!</v>
      </c>
      <c r="K802" s="740" t="e">
        <f t="shared" si="517"/>
        <v>#REF!</v>
      </c>
      <c r="L802" s="735" t="e">
        <f t="shared" si="520"/>
        <v>#REF!</v>
      </c>
      <c r="N802" s="741" t="e">
        <f t="shared" si="521"/>
        <v>#REF!</v>
      </c>
      <c r="O802" s="741" t="e">
        <f t="shared" si="486"/>
        <v>#REF!</v>
      </c>
    </row>
    <row r="803" spans="1:15" s="298" customFormat="1" ht="17.100000000000001" customHeight="1">
      <c r="A803" s="736" t="e">
        <f t="shared" si="501"/>
        <v>#REF!</v>
      </c>
      <c r="B803" s="296" t="s">
        <v>1457</v>
      </c>
      <c r="C803" s="296" t="s">
        <v>1969</v>
      </c>
      <c r="D803" s="297" t="s">
        <v>2</v>
      </c>
      <c r="E803" s="788"/>
      <c r="F803" s="738"/>
      <c r="G803" s="738"/>
      <c r="H803" s="738" t="e">
        <f>#REF!</f>
        <v>#REF!</v>
      </c>
      <c r="I803" s="739">
        <f t="shared" si="515"/>
        <v>0</v>
      </c>
      <c r="J803" s="739">
        <f t="shared" si="516"/>
        <v>0</v>
      </c>
      <c r="K803" s="740" t="e">
        <f t="shared" si="517"/>
        <v>#REF!</v>
      </c>
      <c r="L803" s="735" t="e">
        <f t="shared" si="520"/>
        <v>#REF!</v>
      </c>
      <c r="N803" s="741" t="e">
        <f t="shared" si="521"/>
        <v>#REF!</v>
      </c>
      <c r="O803" s="741" t="e">
        <f t="shared" si="486"/>
        <v>#REF!</v>
      </c>
    </row>
    <row r="804" spans="1:15" s="298" customFormat="1" ht="17.100000000000001" hidden="1" customHeight="1">
      <c r="A804" s="736" t="e">
        <f t="shared" si="501"/>
        <v>#REF!</v>
      </c>
      <c r="B804" s="296" t="s">
        <v>22</v>
      </c>
      <c r="C804" s="296" t="s">
        <v>866</v>
      </c>
      <c r="D804" s="297" t="s">
        <v>2</v>
      </c>
      <c r="E804" s="788"/>
      <c r="F804" s="738" t="e">
        <f>#REF!</f>
        <v>#REF!</v>
      </c>
      <c r="G804" s="738" t="e">
        <f>#REF!</f>
        <v>#REF!</v>
      </c>
      <c r="H804" s="738" t="e">
        <f>#REF!</f>
        <v>#REF!</v>
      </c>
      <c r="I804" s="739" t="e">
        <f t="shared" si="515"/>
        <v>#REF!</v>
      </c>
      <c r="J804" s="739" t="e">
        <f t="shared" si="516"/>
        <v>#REF!</v>
      </c>
      <c r="K804" s="740" t="e">
        <f t="shared" si="517"/>
        <v>#REF!</v>
      </c>
      <c r="L804" s="735" t="e">
        <f t="shared" si="520"/>
        <v>#REF!</v>
      </c>
      <c r="N804" s="741" t="e">
        <f t="shared" si="521"/>
        <v>#REF!</v>
      </c>
      <c r="O804" s="741" t="e">
        <f t="shared" si="486"/>
        <v>#REF!</v>
      </c>
    </row>
    <row r="805" spans="1:15" s="298" customFormat="1" ht="17.100000000000001" customHeight="1">
      <c r="A805" s="736" t="e">
        <f t="shared" si="501"/>
        <v>#REF!</v>
      </c>
      <c r="B805" s="296" t="s">
        <v>867</v>
      </c>
      <c r="C805" s="296" t="s">
        <v>1960</v>
      </c>
      <c r="D805" s="297" t="s">
        <v>2</v>
      </c>
      <c r="E805" s="788"/>
      <c r="F805" s="738"/>
      <c r="G805" s="738" t="e">
        <f>#REF!</f>
        <v>#REF!</v>
      </c>
      <c r="H805" s="738" t="e">
        <f>#REF!</f>
        <v>#REF!</v>
      </c>
      <c r="I805" s="739">
        <f t="shared" si="515"/>
        <v>0</v>
      </c>
      <c r="J805" s="739" t="e">
        <f t="shared" si="516"/>
        <v>#REF!</v>
      </c>
      <c r="K805" s="740" t="e">
        <f t="shared" si="517"/>
        <v>#REF!</v>
      </c>
      <c r="L805" s="735" t="e">
        <f t="shared" si="520"/>
        <v>#REF!</v>
      </c>
      <c r="N805" s="741" t="e">
        <f t="shared" si="521"/>
        <v>#REF!</v>
      </c>
      <c r="O805" s="741" t="e">
        <f t="shared" si="486"/>
        <v>#REF!</v>
      </c>
    </row>
    <row r="806" spans="1:15" s="298" customFormat="1" ht="17.100000000000001" hidden="1" customHeight="1">
      <c r="A806" s="736" t="e">
        <f t="shared" si="501"/>
        <v>#REF!</v>
      </c>
      <c r="B806" s="296" t="s">
        <v>572</v>
      </c>
      <c r="C806" s="296" t="s">
        <v>868</v>
      </c>
      <c r="D806" s="297" t="s">
        <v>2</v>
      </c>
      <c r="E806" s="788"/>
      <c r="F806" s="738"/>
      <c r="G806" s="738" t="e">
        <f>#REF!</f>
        <v>#REF!</v>
      </c>
      <c r="H806" s="738"/>
      <c r="I806" s="739">
        <f t="shared" si="515"/>
        <v>0</v>
      </c>
      <c r="J806" s="739" t="e">
        <f t="shared" si="516"/>
        <v>#REF!</v>
      </c>
      <c r="K806" s="740">
        <f t="shared" si="517"/>
        <v>0</v>
      </c>
      <c r="L806" s="735" t="e">
        <f t="shared" si="520"/>
        <v>#REF!</v>
      </c>
      <c r="N806" s="741" t="e">
        <f t="shared" si="521"/>
        <v>#REF!</v>
      </c>
      <c r="O806" s="741" t="e">
        <f t="shared" si="486"/>
        <v>#REF!</v>
      </c>
    </row>
    <row r="807" spans="1:15" s="298" customFormat="1" ht="17.100000000000001" customHeight="1">
      <c r="A807" s="736" t="e">
        <f t="shared" si="501"/>
        <v>#REF!</v>
      </c>
      <c r="B807" s="296" t="s">
        <v>713</v>
      </c>
      <c r="C807" s="296" t="s">
        <v>869</v>
      </c>
      <c r="D807" s="297" t="s">
        <v>2</v>
      </c>
      <c r="E807" s="788"/>
      <c r="F807" s="738" t="e">
        <f>#REF!</f>
        <v>#REF!</v>
      </c>
      <c r="G807" s="738" t="e">
        <f>#REF!</f>
        <v>#REF!</v>
      </c>
      <c r="H807" s="738"/>
      <c r="I807" s="739" t="e">
        <f t="shared" si="515"/>
        <v>#REF!</v>
      </c>
      <c r="J807" s="739" t="e">
        <f t="shared" si="516"/>
        <v>#REF!</v>
      </c>
      <c r="K807" s="740">
        <f t="shared" si="517"/>
        <v>0</v>
      </c>
      <c r="L807" s="735" t="e">
        <f t="shared" si="520"/>
        <v>#REF!</v>
      </c>
      <c r="N807" s="741" t="e">
        <f t="shared" si="521"/>
        <v>#REF!</v>
      </c>
      <c r="O807" s="741" t="e">
        <f t="shared" si="486"/>
        <v>#REF!</v>
      </c>
    </row>
    <row r="808" spans="1:15" s="298" customFormat="1" ht="17.100000000000001" customHeight="1">
      <c r="A808" s="736" t="e">
        <f t="shared" si="501"/>
        <v>#REF!</v>
      </c>
      <c r="B808" s="296" t="s">
        <v>1573</v>
      </c>
      <c r="C808" s="296" t="s">
        <v>781</v>
      </c>
      <c r="D808" s="297" t="s">
        <v>667</v>
      </c>
      <c r="E808" s="788"/>
      <c r="F808" s="738" t="e">
        <f>#REF!</f>
        <v>#REF!</v>
      </c>
      <c r="G808" s="738" t="e">
        <f>#REF!</f>
        <v>#REF!</v>
      </c>
      <c r="H808" s="738" t="e">
        <f>#REF!</f>
        <v>#REF!</v>
      </c>
      <c r="I808" s="739" t="e">
        <f t="shared" si="515"/>
        <v>#REF!</v>
      </c>
      <c r="J808" s="739" t="e">
        <f t="shared" si="516"/>
        <v>#REF!</v>
      </c>
      <c r="K808" s="740" t="e">
        <f t="shared" si="517"/>
        <v>#REF!</v>
      </c>
      <c r="L808" s="735" t="e">
        <f t="shared" ref="L808:L810" si="522">IF(OR(SUM(I808:K808)&lt;&gt;0,B808="*"),$L$5,0)</f>
        <v>#REF!</v>
      </c>
      <c r="N808" s="741" t="e">
        <f t="shared" ref="N808:N810" si="523">SUM(F808:H808)*1.278</f>
        <v>#REF!</v>
      </c>
      <c r="O808" s="741" t="e">
        <f t="shared" si="486"/>
        <v>#REF!</v>
      </c>
    </row>
    <row r="809" spans="1:15" s="298" customFormat="1" ht="17.100000000000001" customHeight="1">
      <c r="A809" s="736" t="e">
        <f t="shared" si="501"/>
        <v>#REF!</v>
      </c>
      <c r="B809" s="296" t="s">
        <v>592</v>
      </c>
      <c r="C809" s="296" t="s">
        <v>593</v>
      </c>
      <c r="D809" s="297" t="s">
        <v>9</v>
      </c>
      <c r="E809" s="788"/>
      <c r="F809" s="738" t="e">
        <f>#REF!</f>
        <v>#REF!</v>
      </c>
      <c r="G809" s="738" t="e">
        <f>#REF!</f>
        <v>#REF!</v>
      </c>
      <c r="H809" s="738" t="e">
        <f>#REF!</f>
        <v>#REF!</v>
      </c>
      <c r="I809" s="739" t="e">
        <f t="shared" si="515"/>
        <v>#REF!</v>
      </c>
      <c r="J809" s="739" t="e">
        <f t="shared" si="516"/>
        <v>#REF!</v>
      </c>
      <c r="K809" s="740" t="e">
        <f t="shared" si="517"/>
        <v>#REF!</v>
      </c>
      <c r="L809" s="735" t="e">
        <f t="shared" si="522"/>
        <v>#REF!</v>
      </c>
      <c r="N809" s="741" t="e">
        <f t="shared" si="523"/>
        <v>#REF!</v>
      </c>
      <c r="O809" s="741" t="e">
        <f t="shared" si="486"/>
        <v>#REF!</v>
      </c>
    </row>
    <row r="810" spans="1:15" s="298" customFormat="1" ht="17.100000000000001" customHeight="1">
      <c r="A810" s="736" t="e">
        <f t="shared" si="501"/>
        <v>#REF!</v>
      </c>
      <c r="B810" s="296" t="s">
        <v>594</v>
      </c>
      <c r="C810" s="296" t="s">
        <v>783</v>
      </c>
      <c r="D810" s="297" t="s">
        <v>671</v>
      </c>
      <c r="E810" s="788"/>
      <c r="F810" s="738" t="e">
        <f>#REF!</f>
        <v>#REF!</v>
      </c>
      <c r="G810" s="738" t="e">
        <f>#REF!</f>
        <v>#REF!</v>
      </c>
      <c r="H810" s="738" t="e">
        <f>#REF!</f>
        <v>#REF!</v>
      </c>
      <c r="I810" s="739" t="e">
        <f t="shared" si="515"/>
        <v>#REF!</v>
      </c>
      <c r="J810" s="739" t="e">
        <f t="shared" si="516"/>
        <v>#REF!</v>
      </c>
      <c r="K810" s="740" t="e">
        <f t="shared" si="517"/>
        <v>#REF!</v>
      </c>
      <c r="L810" s="735" t="e">
        <f t="shared" si="522"/>
        <v>#REF!</v>
      </c>
      <c r="N810" s="741" t="e">
        <f t="shared" si="523"/>
        <v>#REF!</v>
      </c>
      <c r="O810" s="741" t="e">
        <f t="shared" si="486"/>
        <v>#REF!</v>
      </c>
    </row>
    <row r="811" spans="1:15" s="298" customFormat="1" ht="17.100000000000001" customHeight="1">
      <c r="A811" s="736" t="e">
        <f t="shared" si="501"/>
        <v>#REF!</v>
      </c>
      <c r="B811" s="296" t="s">
        <v>1850</v>
      </c>
      <c r="C811" s="296" t="s">
        <v>1945</v>
      </c>
      <c r="D811" s="297" t="s">
        <v>1757</v>
      </c>
      <c r="E811" s="788"/>
      <c r="F811" s="738"/>
      <c r="G811" s="738" t="e">
        <f>#REF!</f>
        <v>#REF!</v>
      </c>
      <c r="H811" s="738" t="e">
        <f>#REF!</f>
        <v>#REF!</v>
      </c>
      <c r="I811" s="739">
        <f t="shared" si="515"/>
        <v>0</v>
      </c>
      <c r="J811" s="739" t="e">
        <f t="shared" si="516"/>
        <v>#REF!</v>
      </c>
      <c r="K811" s="740" t="e">
        <f t="shared" si="517"/>
        <v>#REF!</v>
      </c>
      <c r="L811" s="735" t="e">
        <f t="shared" ref="L811" si="524">IF(OR(SUM(I811:K811)&lt;&gt;0,B811="*"),$L$5,0)</f>
        <v>#REF!</v>
      </c>
      <c r="N811" s="741" t="e">
        <f t="shared" ref="N811" si="525">SUM(F811:H811)*1.278</f>
        <v>#REF!</v>
      </c>
      <c r="O811" s="741" t="e">
        <f t="shared" si="486"/>
        <v>#REF!</v>
      </c>
    </row>
    <row r="812" spans="1:15" s="298" customFormat="1" ht="17.100000000000001" customHeight="1">
      <c r="A812" s="736" t="e">
        <f t="shared" si="501"/>
        <v>#REF!</v>
      </c>
      <c r="B812" s="296" t="s">
        <v>1962</v>
      </c>
      <c r="C812" s="296" t="s">
        <v>1963</v>
      </c>
      <c r="D812" s="297" t="s">
        <v>1757</v>
      </c>
      <c r="E812" s="788"/>
      <c r="F812" s="738"/>
      <c r="G812" s="738" t="e">
        <f>#REF!</f>
        <v>#REF!</v>
      </c>
      <c r="H812" s="738" t="e">
        <f>#REF!</f>
        <v>#REF!</v>
      </c>
      <c r="I812" s="739">
        <f t="shared" si="515"/>
        <v>0</v>
      </c>
      <c r="J812" s="739" t="e">
        <f t="shared" si="516"/>
        <v>#REF!</v>
      </c>
      <c r="K812" s="740" t="e">
        <f t="shared" si="517"/>
        <v>#REF!</v>
      </c>
      <c r="L812" s="735" t="e">
        <f t="shared" ref="L812" si="526">IF(OR(SUM(I812:K812)&lt;&gt;0,B812="*"),$L$5,0)</f>
        <v>#REF!</v>
      </c>
      <c r="N812" s="741" t="e">
        <f t="shared" ref="N812" si="527">SUM(F812:H812)*1.278</f>
        <v>#REF!</v>
      </c>
      <c r="O812" s="741" t="e">
        <f t="shared" si="486"/>
        <v>#REF!</v>
      </c>
    </row>
    <row r="813" spans="1:15" s="298" customFormat="1" ht="17.100000000000001" hidden="1" customHeight="1">
      <c r="A813" s="736" t="e">
        <f t="shared" si="501"/>
        <v>#REF!</v>
      </c>
      <c r="B813" s="296" t="s">
        <v>786</v>
      </c>
      <c r="C813" s="296" t="s">
        <v>787</v>
      </c>
      <c r="D813" s="297" t="s">
        <v>747</v>
      </c>
      <c r="E813" s="788"/>
      <c r="F813" s="738" t="e">
        <f>#REF!</f>
        <v>#REF!</v>
      </c>
      <c r="G813" s="738" t="e">
        <f>#REF!</f>
        <v>#REF!</v>
      </c>
      <c r="H813" s="738" t="e">
        <f>#REF!</f>
        <v>#REF!</v>
      </c>
      <c r="I813" s="739" t="e">
        <f t="shared" si="515"/>
        <v>#REF!</v>
      </c>
      <c r="J813" s="739" t="e">
        <f t="shared" si="516"/>
        <v>#REF!</v>
      </c>
      <c r="K813" s="740" t="e">
        <f t="shared" si="517"/>
        <v>#REF!</v>
      </c>
      <c r="L813" s="735" t="e">
        <f t="shared" ref="L813:L820" si="528">IF(OR(SUM(I813:K813)&lt;&gt;0,B813="*"),$L$5,0)</f>
        <v>#REF!</v>
      </c>
      <c r="N813" s="741" t="e">
        <f t="shared" ref="N813:N820" si="529">SUM(F813:H813)*1.278</f>
        <v>#REF!</v>
      </c>
      <c r="O813" s="741" t="e">
        <f t="shared" si="486"/>
        <v>#REF!</v>
      </c>
    </row>
    <row r="814" spans="1:15" s="298" customFormat="1" ht="17.100000000000001" hidden="1" customHeight="1">
      <c r="A814" s="736" t="e">
        <f t="shared" si="501"/>
        <v>#REF!</v>
      </c>
      <c r="B814" s="296" t="s">
        <v>793</v>
      </c>
      <c r="C814" s="296" t="s">
        <v>794</v>
      </c>
      <c r="D814" s="297" t="s">
        <v>754</v>
      </c>
      <c r="E814" s="788"/>
      <c r="F814" s="738" t="e">
        <f>#REF!</f>
        <v>#REF!</v>
      </c>
      <c r="G814" s="738" t="e">
        <f>#REF!</f>
        <v>#REF!</v>
      </c>
      <c r="H814" s="738"/>
      <c r="I814" s="739" t="e">
        <f t="shared" si="515"/>
        <v>#REF!</v>
      </c>
      <c r="J814" s="739" t="e">
        <f t="shared" si="516"/>
        <v>#REF!</v>
      </c>
      <c r="K814" s="740">
        <f t="shared" si="517"/>
        <v>0</v>
      </c>
      <c r="L814" s="735" t="e">
        <f t="shared" si="528"/>
        <v>#REF!</v>
      </c>
      <c r="N814" s="741" t="e">
        <f t="shared" si="529"/>
        <v>#REF!</v>
      </c>
      <c r="O814" s="741" t="e">
        <f t="shared" si="486"/>
        <v>#REF!</v>
      </c>
    </row>
    <row r="815" spans="1:15" s="298" customFormat="1" ht="17.100000000000001" hidden="1" customHeight="1">
      <c r="A815" s="736" t="e">
        <f t="shared" si="501"/>
        <v>#REF!</v>
      </c>
      <c r="B815" s="296" t="s">
        <v>550</v>
      </c>
      <c r="C815" s="296" t="s">
        <v>812</v>
      </c>
      <c r="D815" s="297" t="s">
        <v>2</v>
      </c>
      <c r="E815" s="788"/>
      <c r="F815" s="738"/>
      <c r="G815" s="738" t="e">
        <f>#REF!</f>
        <v>#REF!</v>
      </c>
      <c r="H815" s="738" t="e">
        <f>#REF!</f>
        <v>#REF!</v>
      </c>
      <c r="I815" s="739">
        <f t="shared" si="515"/>
        <v>0</v>
      </c>
      <c r="J815" s="739" t="e">
        <f t="shared" si="516"/>
        <v>#REF!</v>
      </c>
      <c r="K815" s="740" t="e">
        <f t="shared" si="517"/>
        <v>#REF!</v>
      </c>
      <c r="L815" s="735" t="e">
        <f t="shared" si="528"/>
        <v>#REF!</v>
      </c>
      <c r="N815" s="741" t="e">
        <f t="shared" si="529"/>
        <v>#REF!</v>
      </c>
      <c r="O815" s="741" t="e">
        <f t="shared" si="486"/>
        <v>#REF!</v>
      </c>
    </row>
    <row r="816" spans="1:15" s="298" customFormat="1" ht="17.100000000000001" hidden="1" customHeight="1">
      <c r="A816" s="736" t="e">
        <f t="shared" si="501"/>
        <v>#REF!</v>
      </c>
      <c r="B816" s="296" t="s">
        <v>809</v>
      </c>
      <c r="C816" s="296" t="s">
        <v>853</v>
      </c>
      <c r="D816" s="297" t="s">
        <v>551</v>
      </c>
      <c r="E816" s="1125"/>
      <c r="F816" s="738" t="e">
        <f>#REF!</f>
        <v>#REF!</v>
      </c>
      <c r="G816" s="738" t="e">
        <f>#REF!</f>
        <v>#REF!</v>
      </c>
      <c r="H816" s="738"/>
      <c r="I816" s="739" t="e">
        <f t="shared" si="515"/>
        <v>#REF!</v>
      </c>
      <c r="J816" s="739" t="e">
        <f t="shared" si="516"/>
        <v>#REF!</v>
      </c>
      <c r="K816" s="740">
        <f t="shared" si="517"/>
        <v>0</v>
      </c>
      <c r="L816" s="735" t="e">
        <f t="shared" si="528"/>
        <v>#REF!</v>
      </c>
      <c r="N816" s="741" t="e">
        <f t="shared" si="529"/>
        <v>#REF!</v>
      </c>
      <c r="O816" s="741" t="e">
        <f t="shared" si="486"/>
        <v>#REF!</v>
      </c>
    </row>
    <row r="817" spans="1:15" s="298" customFormat="1" ht="17.100000000000001" hidden="1" customHeight="1">
      <c r="A817" s="736" t="e">
        <f t="shared" si="501"/>
        <v>#REF!</v>
      </c>
      <c r="B817" s="296" t="s">
        <v>870</v>
      </c>
      <c r="C817" s="296" t="s">
        <v>871</v>
      </c>
      <c r="D817" s="297" t="s">
        <v>2</v>
      </c>
      <c r="E817" s="788"/>
      <c r="F817" s="738"/>
      <c r="G817" s="738" t="e">
        <f>#REF!</f>
        <v>#REF!</v>
      </c>
      <c r="H817" s="738" t="e">
        <f>#REF!</f>
        <v>#REF!</v>
      </c>
      <c r="I817" s="739">
        <f t="shared" si="515"/>
        <v>0</v>
      </c>
      <c r="J817" s="739" t="e">
        <f t="shared" si="516"/>
        <v>#REF!</v>
      </c>
      <c r="K817" s="740" t="e">
        <f t="shared" si="517"/>
        <v>#REF!</v>
      </c>
      <c r="L817" s="735" t="e">
        <f t="shared" si="528"/>
        <v>#REF!</v>
      </c>
      <c r="N817" s="741" t="e">
        <f t="shared" si="529"/>
        <v>#REF!</v>
      </c>
      <c r="O817" s="741" t="e">
        <f t="shared" si="486"/>
        <v>#REF!</v>
      </c>
    </row>
    <row r="818" spans="1:15" s="298" customFormat="1" ht="17.100000000000001" customHeight="1">
      <c r="A818" s="736" t="e">
        <f t="shared" si="501"/>
        <v>#REF!</v>
      </c>
      <c r="B818" s="296" t="s">
        <v>872</v>
      </c>
      <c r="C818" s="296" t="s">
        <v>873</v>
      </c>
      <c r="D818" s="297" t="s">
        <v>874</v>
      </c>
      <c r="E818" s="788"/>
      <c r="F818" s="738"/>
      <c r="G818" s="738"/>
      <c r="H818" s="738" t="e">
        <f>#REF!</f>
        <v>#REF!</v>
      </c>
      <c r="I818" s="739">
        <f t="shared" si="515"/>
        <v>0</v>
      </c>
      <c r="J818" s="739">
        <f t="shared" si="516"/>
        <v>0</v>
      </c>
      <c r="K818" s="740" t="e">
        <f t="shared" si="517"/>
        <v>#REF!</v>
      </c>
      <c r="L818" s="735" t="e">
        <f t="shared" si="528"/>
        <v>#REF!</v>
      </c>
      <c r="N818" s="741" t="e">
        <f t="shared" si="529"/>
        <v>#REF!</v>
      </c>
      <c r="O818" s="741" t="e">
        <f t="shared" si="486"/>
        <v>#REF!</v>
      </c>
    </row>
    <row r="819" spans="1:15" s="298" customFormat="1" ht="17.100000000000001" hidden="1" customHeight="1">
      <c r="A819" s="736" t="e">
        <f t="shared" si="501"/>
        <v>#REF!</v>
      </c>
      <c r="B819" s="296" t="s">
        <v>617</v>
      </c>
      <c r="C819" s="296" t="s">
        <v>875</v>
      </c>
      <c r="D819" s="297" t="s">
        <v>2</v>
      </c>
      <c r="E819" s="788"/>
      <c r="F819" s="738"/>
      <c r="G819" s="738" t="e">
        <f>#REF!</f>
        <v>#REF!</v>
      </c>
      <c r="H819" s="738" t="e">
        <f>#REF!</f>
        <v>#REF!</v>
      </c>
      <c r="I819" s="739">
        <f t="shared" si="515"/>
        <v>0</v>
      </c>
      <c r="J819" s="739" t="e">
        <f t="shared" si="516"/>
        <v>#REF!</v>
      </c>
      <c r="K819" s="740" t="e">
        <f t="shared" si="517"/>
        <v>#REF!</v>
      </c>
      <c r="L819" s="735" t="e">
        <f t="shared" si="528"/>
        <v>#REF!</v>
      </c>
      <c r="N819" s="741" t="e">
        <f t="shared" si="529"/>
        <v>#REF!</v>
      </c>
      <c r="O819" s="741" t="e">
        <f t="shared" si="486"/>
        <v>#REF!</v>
      </c>
    </row>
    <row r="820" spans="1:15" s="298" customFormat="1" ht="17.100000000000001" hidden="1" customHeight="1">
      <c r="A820" s="736" t="e">
        <f t="shared" si="501"/>
        <v>#REF!</v>
      </c>
      <c r="B820" s="296" t="s">
        <v>876</v>
      </c>
      <c r="C820" s="296" t="s">
        <v>877</v>
      </c>
      <c r="D820" s="297" t="s">
        <v>747</v>
      </c>
      <c r="E820" s="788"/>
      <c r="F820" s="738"/>
      <c r="G820" s="738" t="e">
        <f>#REF!</f>
        <v>#REF!</v>
      </c>
      <c r="H820" s="738" t="e">
        <f>#REF!</f>
        <v>#REF!</v>
      </c>
      <c r="I820" s="739">
        <f t="shared" si="515"/>
        <v>0</v>
      </c>
      <c r="J820" s="739" t="e">
        <f t="shared" si="516"/>
        <v>#REF!</v>
      </c>
      <c r="K820" s="740" t="e">
        <f t="shared" si="517"/>
        <v>#REF!</v>
      </c>
      <c r="L820" s="735" t="e">
        <f t="shared" si="528"/>
        <v>#REF!</v>
      </c>
      <c r="N820" s="741" t="e">
        <f t="shared" si="529"/>
        <v>#REF!</v>
      </c>
      <c r="O820" s="741" t="e">
        <f t="shared" si="486"/>
        <v>#REF!</v>
      </c>
    </row>
    <row r="821" spans="1:15" s="298" customFormat="1" ht="17.100000000000001" customHeight="1">
      <c r="A821" s="736" t="e">
        <f t="shared" si="501"/>
        <v>#REF!</v>
      </c>
      <c r="B821" s="296" t="s">
        <v>1992</v>
      </c>
      <c r="C821" s="296" t="s">
        <v>2002</v>
      </c>
      <c r="D821" s="297" t="s">
        <v>2</v>
      </c>
      <c r="E821" s="788"/>
      <c r="F821" s="738"/>
      <c r="G821" s="738"/>
      <c r="H821" s="738" t="e">
        <f>#REF!</f>
        <v>#REF!</v>
      </c>
      <c r="I821" s="739">
        <f>E821*F821</f>
        <v>0</v>
      </c>
      <c r="J821" s="739">
        <f>E821*G821</f>
        <v>0</v>
      </c>
      <c r="K821" s="740" t="e">
        <f>E821*H821</f>
        <v>#REF!</v>
      </c>
      <c r="L821" s="735" t="e">
        <f t="shared" ref="L821:L831" si="530">IF(OR(SUM(I821:K821)&lt;&gt;0,B821="*"),$L$5,0)</f>
        <v>#REF!</v>
      </c>
      <c r="N821" s="741" t="e">
        <f t="shared" ref="N821" si="531">SUM(F821:H821)*1.278</f>
        <v>#REF!</v>
      </c>
      <c r="O821" s="741" t="e">
        <f t="shared" si="486"/>
        <v>#REF!</v>
      </c>
    </row>
    <row r="822" spans="1:15" s="298" customFormat="1" ht="17.100000000000001" hidden="1" customHeight="1">
      <c r="A822" s="736" t="e">
        <f t="shared" si="501"/>
        <v>#REF!</v>
      </c>
      <c r="B822" s="296" t="s">
        <v>1491</v>
      </c>
      <c r="C822" s="296" t="s">
        <v>878</v>
      </c>
      <c r="D822" s="297" t="s">
        <v>2</v>
      </c>
      <c r="E822" s="788"/>
      <c r="F822" s="738"/>
      <c r="G822" s="738"/>
      <c r="H822" s="738" t="e">
        <f>#REF!</f>
        <v>#REF!</v>
      </c>
      <c r="I822" s="739">
        <f t="shared" ref="I822:I828" si="532">E822*F822</f>
        <v>0</v>
      </c>
      <c r="J822" s="739">
        <f t="shared" ref="J822:J828" si="533">E822*G822</f>
        <v>0</v>
      </c>
      <c r="K822" s="740" t="e">
        <f t="shared" ref="K822:K828" si="534">E822*H822</f>
        <v>#REF!</v>
      </c>
      <c r="L822" s="735" t="e">
        <f t="shared" si="530"/>
        <v>#REF!</v>
      </c>
      <c r="N822" s="741" t="e">
        <f t="shared" ref="N822" si="535">SUM(F822:H822)*1.278</f>
        <v>#REF!</v>
      </c>
      <c r="O822" s="741" t="e">
        <f t="shared" si="486"/>
        <v>#REF!</v>
      </c>
    </row>
    <row r="823" spans="1:15" s="298" customFormat="1" ht="17.100000000000001" customHeight="1">
      <c r="A823" s="838" t="e">
        <f t="shared" si="501"/>
        <v>#REF!</v>
      </c>
      <c r="B823" s="296" t="s">
        <v>1746</v>
      </c>
      <c r="C823" s="737" t="s">
        <v>1970</v>
      </c>
      <c r="D823" s="297"/>
      <c r="E823" s="788"/>
      <c r="F823" s="738"/>
      <c r="G823" s="738"/>
      <c r="H823" s="738"/>
      <c r="I823" s="739">
        <f t="shared" si="532"/>
        <v>0</v>
      </c>
      <c r="J823" s="739">
        <f t="shared" si="533"/>
        <v>0</v>
      </c>
      <c r="K823" s="740">
        <f t="shared" si="534"/>
        <v>0</v>
      </c>
      <c r="L823" s="735">
        <f t="shared" si="530"/>
        <v>1</v>
      </c>
      <c r="N823" s="741"/>
      <c r="O823" s="741"/>
    </row>
    <row r="824" spans="1:15" s="298" customFormat="1" ht="17.100000000000001" customHeight="1">
      <c r="A824" s="736" t="e">
        <f t="shared" si="501"/>
        <v>#REF!</v>
      </c>
      <c r="B824" s="296" t="s">
        <v>119</v>
      </c>
      <c r="C824" s="296" t="s">
        <v>1980</v>
      </c>
      <c r="D824" s="297" t="s">
        <v>2</v>
      </c>
      <c r="E824" s="788"/>
      <c r="F824" s="738"/>
      <c r="G824" s="738" t="e">
        <f>#REF!</f>
        <v>#REF!</v>
      </c>
      <c r="H824" s="738"/>
      <c r="I824" s="739">
        <f t="shared" si="532"/>
        <v>0</v>
      </c>
      <c r="J824" s="739" t="e">
        <f t="shared" si="533"/>
        <v>#REF!</v>
      </c>
      <c r="K824" s="740">
        <f t="shared" si="534"/>
        <v>0</v>
      </c>
      <c r="L824" s="735" t="e">
        <f t="shared" si="530"/>
        <v>#REF!</v>
      </c>
      <c r="N824" s="741" t="e">
        <f t="shared" ref="N824:N828" si="536">SUM(F824:H824)*1.278</f>
        <v>#REF!</v>
      </c>
      <c r="O824" s="741" t="e">
        <f t="shared" ref="O824:O828" si="537">N824*E824</f>
        <v>#REF!</v>
      </c>
    </row>
    <row r="825" spans="1:15" s="298" customFormat="1" ht="17.100000000000001" customHeight="1">
      <c r="A825" s="736" t="e">
        <f t="shared" si="501"/>
        <v>#REF!</v>
      </c>
      <c r="B825" s="296" t="s">
        <v>1395</v>
      </c>
      <c r="C825" s="296" t="s">
        <v>1981</v>
      </c>
      <c r="D825" s="297" t="s">
        <v>2</v>
      </c>
      <c r="E825" s="788"/>
      <c r="F825" s="738" t="e">
        <f>#REF!</f>
        <v>#REF!</v>
      </c>
      <c r="G825" s="738" t="e">
        <f>#REF!</f>
        <v>#REF!</v>
      </c>
      <c r="H825" s="738" t="e">
        <f>#REF!</f>
        <v>#REF!</v>
      </c>
      <c r="I825" s="739" t="e">
        <f t="shared" si="532"/>
        <v>#REF!</v>
      </c>
      <c r="J825" s="739" t="e">
        <f t="shared" si="533"/>
        <v>#REF!</v>
      </c>
      <c r="K825" s="740" t="e">
        <f t="shared" si="534"/>
        <v>#REF!</v>
      </c>
      <c r="L825" s="735" t="e">
        <f t="shared" si="530"/>
        <v>#REF!</v>
      </c>
      <c r="N825" s="741" t="e">
        <f t="shared" si="536"/>
        <v>#REF!</v>
      </c>
      <c r="O825" s="741" t="e">
        <f t="shared" si="537"/>
        <v>#REF!</v>
      </c>
    </row>
    <row r="826" spans="1:15" s="298" customFormat="1" ht="17.100000000000001" customHeight="1">
      <c r="A826" s="736" t="e">
        <f t="shared" si="501"/>
        <v>#REF!</v>
      </c>
      <c r="B826" s="296" t="s">
        <v>1557</v>
      </c>
      <c r="C826" s="296" t="s">
        <v>1558</v>
      </c>
      <c r="D826" s="297" t="s">
        <v>111</v>
      </c>
      <c r="E826" s="788"/>
      <c r="F826" s="738" t="e">
        <f>#REF!</f>
        <v>#REF!</v>
      </c>
      <c r="G826" s="738" t="e">
        <f>#REF!</f>
        <v>#REF!</v>
      </c>
      <c r="H826" s="738" t="e">
        <f>#REF!</f>
        <v>#REF!</v>
      </c>
      <c r="I826" s="739" t="e">
        <f t="shared" si="532"/>
        <v>#REF!</v>
      </c>
      <c r="J826" s="739" t="e">
        <f t="shared" si="533"/>
        <v>#REF!</v>
      </c>
      <c r="K826" s="740" t="e">
        <f t="shared" si="534"/>
        <v>#REF!</v>
      </c>
      <c r="L826" s="735" t="e">
        <f t="shared" si="530"/>
        <v>#REF!</v>
      </c>
      <c r="N826" s="741" t="e">
        <f t="shared" si="536"/>
        <v>#REF!</v>
      </c>
      <c r="O826" s="741" t="e">
        <f t="shared" si="537"/>
        <v>#REF!</v>
      </c>
    </row>
    <row r="827" spans="1:15" s="298" customFormat="1" ht="17.100000000000001" hidden="1" customHeight="1">
      <c r="A827" s="736" t="e">
        <f t="shared" si="501"/>
        <v>#REF!</v>
      </c>
      <c r="B827" s="296" t="s">
        <v>1395</v>
      </c>
      <c r="C827" s="296" t="s">
        <v>634</v>
      </c>
      <c r="D827" s="297" t="s">
        <v>2</v>
      </c>
      <c r="E827" s="788"/>
      <c r="F827" s="738" t="e">
        <f>#REF!</f>
        <v>#REF!</v>
      </c>
      <c r="G827" s="738" t="e">
        <f>#REF!</f>
        <v>#REF!</v>
      </c>
      <c r="H827" s="738" t="e">
        <f>#REF!</f>
        <v>#REF!</v>
      </c>
      <c r="I827" s="739" t="e">
        <f t="shared" si="532"/>
        <v>#REF!</v>
      </c>
      <c r="J827" s="739" t="e">
        <f t="shared" si="533"/>
        <v>#REF!</v>
      </c>
      <c r="K827" s="740" t="e">
        <f t="shared" si="534"/>
        <v>#REF!</v>
      </c>
      <c r="L827" s="735" t="e">
        <f t="shared" si="530"/>
        <v>#REF!</v>
      </c>
      <c r="N827" s="741" t="e">
        <f t="shared" si="536"/>
        <v>#REF!</v>
      </c>
      <c r="O827" s="741" t="e">
        <f t="shared" si="537"/>
        <v>#REF!</v>
      </c>
    </row>
    <row r="828" spans="1:15" s="298" customFormat="1" ht="17.100000000000001" hidden="1" customHeight="1">
      <c r="A828" s="736" t="e">
        <f t="shared" si="501"/>
        <v>#REF!</v>
      </c>
      <c r="B828" s="296" t="s">
        <v>632</v>
      </c>
      <c r="C828" s="296" t="s">
        <v>633</v>
      </c>
      <c r="D828" s="297" t="s">
        <v>111</v>
      </c>
      <c r="E828" s="788"/>
      <c r="F828" s="738" t="e">
        <f>#REF!</f>
        <v>#REF!</v>
      </c>
      <c r="G828" s="738" t="e">
        <f>#REF!</f>
        <v>#REF!</v>
      </c>
      <c r="H828" s="738"/>
      <c r="I828" s="739" t="e">
        <f t="shared" si="532"/>
        <v>#REF!</v>
      </c>
      <c r="J828" s="739" t="e">
        <f t="shared" si="533"/>
        <v>#REF!</v>
      </c>
      <c r="K828" s="740">
        <f t="shared" si="534"/>
        <v>0</v>
      </c>
      <c r="L828" s="735" t="e">
        <f t="shared" si="530"/>
        <v>#REF!</v>
      </c>
      <c r="N828" s="741" t="e">
        <f t="shared" si="536"/>
        <v>#REF!</v>
      </c>
      <c r="O828" s="741" t="e">
        <f t="shared" si="537"/>
        <v>#REF!</v>
      </c>
    </row>
    <row r="829" spans="1:15" s="831" customFormat="1" ht="17.100000000000001" hidden="1" customHeight="1">
      <c r="A829" s="736" t="e">
        <f t="shared" si="501"/>
        <v>#REF!</v>
      </c>
      <c r="B829" s="827" t="s">
        <v>1971</v>
      </c>
      <c r="C829" s="827" t="s">
        <v>1972</v>
      </c>
      <c r="D829" s="828" t="s">
        <v>2</v>
      </c>
      <c r="E829" s="788"/>
      <c r="F829" s="830" t="e">
        <f>#REF!</f>
        <v>#REF!</v>
      </c>
      <c r="G829" s="830" t="e">
        <f>#REF!</f>
        <v>#REF!</v>
      </c>
      <c r="H829" s="830" t="e">
        <f>#REF!</f>
        <v>#REF!</v>
      </c>
      <c r="I829" s="1126" t="e">
        <f>E829*F829</f>
        <v>#REF!</v>
      </c>
      <c r="J829" s="1126" t="e">
        <f>E829*G829</f>
        <v>#REF!</v>
      </c>
      <c r="K829" s="1090" t="e">
        <f>E829*H829</f>
        <v>#REF!</v>
      </c>
      <c r="L829" s="735" t="e">
        <f t="shared" si="530"/>
        <v>#REF!</v>
      </c>
      <c r="M829" s="832" t="e">
        <f t="shared" ref="M829:M831" si="538">SUM(F829:H829)*1.2785</f>
        <v>#REF!</v>
      </c>
    </row>
    <row r="830" spans="1:15" s="831" customFormat="1" ht="17.100000000000001" hidden="1" customHeight="1">
      <c r="A830" s="736" t="e">
        <f t="shared" si="501"/>
        <v>#REF!</v>
      </c>
      <c r="B830" s="827" t="s">
        <v>1973</v>
      </c>
      <c r="C830" s="827" t="s">
        <v>1974</v>
      </c>
      <c r="D830" s="828" t="s">
        <v>59</v>
      </c>
      <c r="E830" s="788"/>
      <c r="F830" s="830" t="e">
        <f>#REF!</f>
        <v>#REF!</v>
      </c>
      <c r="G830" s="830" t="e">
        <f>#REF!</f>
        <v>#REF!</v>
      </c>
      <c r="H830" s="830" t="e">
        <f>#REF!</f>
        <v>#REF!</v>
      </c>
      <c r="I830" s="1126" t="e">
        <f t="shared" ref="I830:I832" si="539">E830*F830</f>
        <v>#REF!</v>
      </c>
      <c r="J830" s="1126" t="e">
        <f t="shared" ref="J830:J832" si="540">E830*G830</f>
        <v>#REF!</v>
      </c>
      <c r="K830" s="1090" t="e">
        <f t="shared" ref="K830:K832" si="541">E830*H830</f>
        <v>#REF!</v>
      </c>
      <c r="L830" s="735" t="e">
        <f t="shared" si="530"/>
        <v>#REF!</v>
      </c>
      <c r="M830" s="832" t="e">
        <f t="shared" si="538"/>
        <v>#REF!</v>
      </c>
    </row>
    <row r="831" spans="1:15" s="831" customFormat="1" ht="17.100000000000001" hidden="1" customHeight="1">
      <c r="A831" s="736" t="e">
        <f t="shared" si="501"/>
        <v>#REF!</v>
      </c>
      <c r="B831" s="827" t="s">
        <v>1975</v>
      </c>
      <c r="C831" s="827" t="s">
        <v>1976</v>
      </c>
      <c r="D831" s="828" t="s">
        <v>59</v>
      </c>
      <c r="E831" s="788"/>
      <c r="F831" s="830" t="e">
        <f>#REF!</f>
        <v>#REF!</v>
      </c>
      <c r="G831" s="830" t="e">
        <f>#REF!</f>
        <v>#REF!</v>
      </c>
      <c r="H831" s="830" t="e">
        <f>#REF!</f>
        <v>#REF!</v>
      </c>
      <c r="I831" s="1126" t="e">
        <f t="shared" si="539"/>
        <v>#REF!</v>
      </c>
      <c r="J831" s="1126" t="e">
        <f t="shared" si="540"/>
        <v>#REF!</v>
      </c>
      <c r="K831" s="1090" t="e">
        <f t="shared" si="541"/>
        <v>#REF!</v>
      </c>
      <c r="L831" s="735" t="e">
        <f t="shared" si="530"/>
        <v>#REF!</v>
      </c>
      <c r="M831" s="832" t="e">
        <f t="shared" si="538"/>
        <v>#REF!</v>
      </c>
    </row>
    <row r="832" spans="1:15" s="298" customFormat="1" ht="17.100000000000001" hidden="1" customHeight="1">
      <c r="A832" s="736" t="e">
        <f t="shared" si="501"/>
        <v>#REF!</v>
      </c>
      <c r="B832" s="296" t="s">
        <v>800</v>
      </c>
      <c r="C832" s="296" t="s">
        <v>801</v>
      </c>
      <c r="D832" s="297" t="s">
        <v>9</v>
      </c>
      <c r="E832" s="788"/>
      <c r="F832" s="738" t="e">
        <f>#REF!</f>
        <v>#REF!</v>
      </c>
      <c r="G832" s="738" t="e">
        <f>#REF!</f>
        <v>#REF!</v>
      </c>
      <c r="H832" s="738" t="e">
        <f>#REF!</f>
        <v>#REF!</v>
      </c>
      <c r="I832" s="739" t="e">
        <f t="shared" si="539"/>
        <v>#REF!</v>
      </c>
      <c r="J832" s="739" t="e">
        <f t="shared" si="540"/>
        <v>#REF!</v>
      </c>
      <c r="K832" s="740" t="e">
        <f t="shared" si="541"/>
        <v>#REF!</v>
      </c>
      <c r="L832" s="735" t="e">
        <f t="shared" ref="L832" si="542">IF(OR(SUM(I832:K832)&lt;&gt;0,B832="*"),$L$5,0)</f>
        <v>#REF!</v>
      </c>
      <c r="N832" s="741" t="e">
        <f t="shared" ref="N832:N838" si="543">SUM(F832:H832)*1.278</f>
        <v>#REF!</v>
      </c>
      <c r="O832" s="741" t="e">
        <f t="shared" ref="O832:O838" si="544">N832*E832</f>
        <v>#REF!</v>
      </c>
    </row>
    <row r="833" spans="1:15" s="298" customFormat="1" ht="17.100000000000001" hidden="1" customHeight="1">
      <c r="A833" s="736" t="e">
        <f t="shared" si="501"/>
        <v>#REF!</v>
      </c>
      <c r="B833" s="296" t="s">
        <v>0</v>
      </c>
      <c r="C833" s="737" t="s">
        <v>879</v>
      </c>
      <c r="D833" s="297" t="s">
        <v>0</v>
      </c>
      <c r="E833" s="788"/>
      <c r="F833" s="738"/>
      <c r="G833" s="738"/>
      <c r="H833" s="738"/>
      <c r="I833" s="739"/>
      <c r="J833" s="739"/>
      <c r="K833" s="740"/>
      <c r="L833" s="735">
        <f t="shared" ref="L833" si="545">IF(OR(SUM(I833:K833)&lt;&gt;0,B833="*"),$L$5,0)</f>
        <v>0</v>
      </c>
      <c r="N833" s="741">
        <f t="shared" si="543"/>
        <v>0</v>
      </c>
      <c r="O833" s="741">
        <f t="shared" si="544"/>
        <v>0</v>
      </c>
    </row>
    <row r="834" spans="1:15" s="298" customFormat="1" ht="17.100000000000001" hidden="1" customHeight="1">
      <c r="A834" s="736" t="e">
        <f t="shared" si="501"/>
        <v>#REF!</v>
      </c>
      <c r="B834" s="296" t="s">
        <v>880</v>
      </c>
      <c r="C834" s="296" t="s">
        <v>881</v>
      </c>
      <c r="D834" s="297" t="s">
        <v>7</v>
      </c>
      <c r="E834" s="788"/>
      <c r="F834" s="738" t="e">
        <f>#REF!</f>
        <v>#REF!</v>
      </c>
      <c r="G834" s="738" t="e">
        <f>#REF!</f>
        <v>#REF!</v>
      </c>
      <c r="H834" s="738" t="e">
        <f>#REF!</f>
        <v>#REF!</v>
      </c>
      <c r="I834" s="739" t="e">
        <f>E834*F834</f>
        <v>#REF!</v>
      </c>
      <c r="J834" s="739" t="e">
        <f>E834*G834</f>
        <v>#REF!</v>
      </c>
      <c r="K834" s="740" t="e">
        <f>E834*H834</f>
        <v>#REF!</v>
      </c>
      <c r="L834" s="735" t="e">
        <f t="shared" ref="L834:L838" si="546">IF(OR(SUM(I834:K834)&lt;&gt;0,B834="*"),$L$5,0)</f>
        <v>#REF!</v>
      </c>
      <c r="N834" s="741" t="e">
        <f t="shared" si="543"/>
        <v>#REF!</v>
      </c>
      <c r="O834" s="741" t="e">
        <f t="shared" si="544"/>
        <v>#REF!</v>
      </c>
    </row>
    <row r="835" spans="1:15" s="298" customFormat="1" ht="17.100000000000001" hidden="1" customHeight="1">
      <c r="A835" s="736" t="e">
        <f t="shared" si="501"/>
        <v>#REF!</v>
      </c>
      <c r="B835" s="296" t="s">
        <v>882</v>
      </c>
      <c r="C835" s="296" t="s">
        <v>883</v>
      </c>
      <c r="D835" s="297" t="s">
        <v>7</v>
      </c>
      <c r="E835" s="788"/>
      <c r="F835" s="738"/>
      <c r="G835" s="738" t="e">
        <f>#REF!</f>
        <v>#REF!</v>
      </c>
      <c r="H835" s="738" t="e">
        <f>#REF!</f>
        <v>#REF!</v>
      </c>
      <c r="I835" s="739">
        <f>E835*F835</f>
        <v>0</v>
      </c>
      <c r="J835" s="739" t="e">
        <f>E835*G835</f>
        <v>#REF!</v>
      </c>
      <c r="K835" s="740" t="e">
        <f>E835*H835</f>
        <v>#REF!</v>
      </c>
      <c r="L835" s="735" t="e">
        <f t="shared" si="546"/>
        <v>#REF!</v>
      </c>
      <c r="N835" s="741" t="e">
        <f t="shared" si="543"/>
        <v>#REF!</v>
      </c>
      <c r="O835" s="741" t="e">
        <f t="shared" si="544"/>
        <v>#REF!</v>
      </c>
    </row>
    <row r="836" spans="1:15" s="298" customFormat="1" ht="17.100000000000001" hidden="1" customHeight="1">
      <c r="A836" s="736" t="e">
        <f t="shared" si="501"/>
        <v>#REF!</v>
      </c>
      <c r="B836" s="296" t="s">
        <v>884</v>
      </c>
      <c r="C836" s="296" t="s">
        <v>885</v>
      </c>
      <c r="D836" s="297" t="s">
        <v>2</v>
      </c>
      <c r="E836" s="788"/>
      <c r="F836" s="738"/>
      <c r="G836" s="738"/>
      <c r="H836" s="738" t="e">
        <f>#REF!</f>
        <v>#REF!</v>
      </c>
      <c r="I836" s="739">
        <f>E836*F836</f>
        <v>0</v>
      </c>
      <c r="J836" s="739">
        <f>E836*G836</f>
        <v>0</v>
      </c>
      <c r="K836" s="740" t="e">
        <f>E836*H836</f>
        <v>#REF!</v>
      </c>
      <c r="L836" s="735" t="e">
        <f t="shared" si="546"/>
        <v>#REF!</v>
      </c>
      <c r="N836" s="741" t="e">
        <f t="shared" si="543"/>
        <v>#REF!</v>
      </c>
      <c r="O836" s="741" t="e">
        <f t="shared" si="544"/>
        <v>#REF!</v>
      </c>
    </row>
    <row r="837" spans="1:15" s="298" customFormat="1" ht="17.100000000000001" hidden="1" customHeight="1">
      <c r="A837" s="736" t="e">
        <f t="shared" si="501"/>
        <v>#REF!</v>
      </c>
      <c r="B837" s="296" t="s">
        <v>872</v>
      </c>
      <c r="C837" s="296" t="s">
        <v>886</v>
      </c>
      <c r="D837" s="297" t="s">
        <v>874</v>
      </c>
      <c r="E837" s="788"/>
      <c r="F837" s="738"/>
      <c r="G837" s="738"/>
      <c r="H837" s="738" t="e">
        <f>#REF!</f>
        <v>#REF!</v>
      </c>
      <c r="I837" s="739">
        <f>E837*F837</f>
        <v>0</v>
      </c>
      <c r="J837" s="739">
        <f>E837*G837</f>
        <v>0</v>
      </c>
      <c r="K837" s="740" t="e">
        <f>E837*H837</f>
        <v>#REF!</v>
      </c>
      <c r="L837" s="735" t="e">
        <f t="shared" si="546"/>
        <v>#REF!</v>
      </c>
      <c r="N837" s="741" t="e">
        <f t="shared" si="543"/>
        <v>#REF!</v>
      </c>
      <c r="O837" s="741" t="e">
        <f t="shared" si="544"/>
        <v>#REF!</v>
      </c>
    </row>
    <row r="838" spans="1:15" s="298" customFormat="1" ht="17.100000000000001" customHeight="1">
      <c r="A838" s="839" t="e">
        <f t="shared" si="501"/>
        <v>#REF!</v>
      </c>
      <c r="B838" s="744" t="s">
        <v>1746</v>
      </c>
      <c r="C838" s="744" t="s">
        <v>0</v>
      </c>
      <c r="D838" s="745" t="s">
        <v>0</v>
      </c>
      <c r="E838" s="820"/>
      <c r="F838" s="746"/>
      <c r="G838" s="746"/>
      <c r="H838" s="746"/>
      <c r="I838" s="747"/>
      <c r="J838" s="747"/>
      <c r="K838" s="748"/>
      <c r="L838" s="735">
        <f t="shared" si="546"/>
        <v>1</v>
      </c>
      <c r="N838" s="741">
        <f t="shared" si="543"/>
        <v>0</v>
      </c>
      <c r="O838" s="741">
        <f t="shared" si="544"/>
        <v>0</v>
      </c>
    </row>
    <row r="839" spans="1:15" s="298" customFormat="1" ht="17.100000000000001" customHeight="1">
      <c r="A839" s="840" t="e">
        <f t="shared" si="501"/>
        <v>#REF!</v>
      </c>
      <c r="B839" s="730" t="s">
        <v>0</v>
      </c>
      <c r="C839" s="730" t="s">
        <v>1978</v>
      </c>
      <c r="D839" s="731" t="s">
        <v>0</v>
      </c>
      <c r="E839" s="819"/>
      <c r="F839" s="732"/>
      <c r="G839" s="732"/>
      <c r="H839" s="732"/>
      <c r="I839" s="733" t="e">
        <f>SUM(I840:I936)</f>
        <v>#REF!</v>
      </c>
      <c r="J839" s="733" t="e">
        <f>SUM(J840:J936)</f>
        <v>#REF!</v>
      </c>
      <c r="K839" s="734" t="e">
        <f>SUM(K840:K936)</f>
        <v>#REF!</v>
      </c>
      <c r="L839" s="735" t="e">
        <f t="shared" si="425"/>
        <v>#REF!</v>
      </c>
      <c r="N839" s="741">
        <f t="shared" si="426"/>
        <v>0</v>
      </c>
      <c r="O839" s="734" t="e">
        <f>SUM(O840:O936)</f>
        <v>#REF!</v>
      </c>
    </row>
    <row r="840" spans="1:15" s="298" customFormat="1" ht="17.100000000000001" customHeight="1">
      <c r="A840" s="838" t="e">
        <f t="shared" si="501"/>
        <v>#REF!</v>
      </c>
      <c r="B840" s="296" t="s">
        <v>1746</v>
      </c>
      <c r="C840" s="737" t="s">
        <v>780</v>
      </c>
      <c r="D840" s="297">
        <v>6</v>
      </c>
      <c r="E840" s="788"/>
      <c r="F840" s="738"/>
      <c r="G840" s="738"/>
      <c r="H840" s="738"/>
      <c r="I840" s="739"/>
      <c r="J840" s="739"/>
      <c r="K840" s="740"/>
      <c r="L840" s="735">
        <f t="shared" si="425"/>
        <v>1</v>
      </c>
      <c r="N840" s="741">
        <f t="shared" si="426"/>
        <v>0</v>
      </c>
      <c r="O840" s="741">
        <f t="shared" si="428"/>
        <v>0</v>
      </c>
    </row>
    <row r="841" spans="1:15" s="298" customFormat="1" ht="17.100000000000001" hidden="1" customHeight="1">
      <c r="A841" s="736" t="e">
        <f t="shared" si="501"/>
        <v>#REF!</v>
      </c>
      <c r="B841" s="296" t="s">
        <v>1581</v>
      </c>
      <c r="C841" s="296" t="s">
        <v>813</v>
      </c>
      <c r="D841" s="297" t="s">
        <v>2</v>
      </c>
      <c r="E841" s="788"/>
      <c r="F841" s="738" t="e">
        <f>#REF!</f>
        <v>#REF!</v>
      </c>
      <c r="G841" s="738" t="e">
        <f>#REF!</f>
        <v>#REF!</v>
      </c>
      <c r="H841" s="738" t="e">
        <f>#REF!</f>
        <v>#REF!</v>
      </c>
      <c r="I841" s="739" t="e">
        <f t="shared" ref="I841:I858" si="547">E841*F841</f>
        <v>#REF!</v>
      </c>
      <c r="J841" s="739" t="e">
        <f t="shared" ref="J841:J858" si="548">E841*G841</f>
        <v>#REF!</v>
      </c>
      <c r="K841" s="740" t="e">
        <f t="shared" ref="K841:K858" si="549">E841*H841</f>
        <v>#REF!</v>
      </c>
      <c r="L841" s="735" t="e">
        <f t="shared" si="425"/>
        <v>#REF!</v>
      </c>
      <c r="N841" s="741" t="e">
        <f t="shared" si="426"/>
        <v>#REF!</v>
      </c>
      <c r="O841" s="741" t="e">
        <f t="shared" si="428"/>
        <v>#REF!</v>
      </c>
    </row>
    <row r="842" spans="1:15" s="298" customFormat="1" ht="17.100000000000001" customHeight="1">
      <c r="A842" s="736" t="e">
        <f t="shared" si="501"/>
        <v>#REF!</v>
      </c>
      <c r="B842" s="296" t="s">
        <v>1925</v>
      </c>
      <c r="C842" s="296" t="s">
        <v>1926</v>
      </c>
      <c r="D842" s="297" t="s">
        <v>2</v>
      </c>
      <c r="E842" s="788"/>
      <c r="F842" s="738" t="e">
        <f>#REF!</f>
        <v>#REF!</v>
      </c>
      <c r="G842" s="738" t="e">
        <f>#REF!</f>
        <v>#REF!</v>
      </c>
      <c r="H842" s="738" t="e">
        <f>#REF!</f>
        <v>#REF!</v>
      </c>
      <c r="I842" s="739" t="e">
        <f t="shared" ref="I842" si="550">E842*F842</f>
        <v>#REF!</v>
      </c>
      <c r="J842" s="739" t="e">
        <f t="shared" ref="J842" si="551">E842*G842</f>
        <v>#REF!</v>
      </c>
      <c r="K842" s="740" t="e">
        <f t="shared" ref="K842" si="552">E842*H842</f>
        <v>#REF!</v>
      </c>
      <c r="L842" s="735" t="e">
        <f t="shared" ref="L842" si="553">IF(OR(SUM(I842:K842)&lt;&gt;0,B842="*"),$L$5,0)</f>
        <v>#REF!</v>
      </c>
      <c r="N842" s="741" t="e">
        <f t="shared" ref="N842" si="554">SUM(F842:H842)*1.278</f>
        <v>#REF!</v>
      </c>
      <c r="O842" s="741" t="e">
        <f t="shared" ref="O842" si="555">N842*E842</f>
        <v>#REF!</v>
      </c>
    </row>
    <row r="843" spans="1:15" s="298" customFormat="1" ht="17.100000000000001" hidden="1" customHeight="1">
      <c r="A843" s="736" t="e">
        <f t="shared" si="501"/>
        <v>#REF!</v>
      </c>
      <c r="B843" s="296" t="s">
        <v>814</v>
      </c>
      <c r="C843" s="296" t="s">
        <v>815</v>
      </c>
      <c r="D843" s="297" t="s">
        <v>9</v>
      </c>
      <c r="E843" s="788"/>
      <c r="F843" s="738" t="e">
        <f>#REF!</f>
        <v>#REF!</v>
      </c>
      <c r="G843" s="738" t="e">
        <f>#REF!</f>
        <v>#REF!</v>
      </c>
      <c r="H843" s="738"/>
      <c r="I843" s="739" t="e">
        <f t="shared" si="547"/>
        <v>#REF!</v>
      </c>
      <c r="J843" s="739" t="e">
        <f t="shared" si="548"/>
        <v>#REF!</v>
      </c>
      <c r="K843" s="740">
        <f t="shared" si="549"/>
        <v>0</v>
      </c>
      <c r="L843" s="735" t="e">
        <f t="shared" si="425"/>
        <v>#REF!</v>
      </c>
      <c r="N843" s="741" t="e">
        <f t="shared" si="426"/>
        <v>#REF!</v>
      </c>
      <c r="O843" s="741" t="e">
        <f t="shared" si="428"/>
        <v>#REF!</v>
      </c>
    </row>
    <row r="844" spans="1:15" s="298" customFormat="1" ht="17.100000000000001" customHeight="1">
      <c r="A844" s="736" t="e">
        <f t="shared" ref="A844:A907" si="556">IF(SUM(F844:H844)&lt;&gt;0,A843+L844,A843)</f>
        <v>#REF!</v>
      </c>
      <c r="B844" s="296" t="s">
        <v>84</v>
      </c>
      <c r="C844" s="296" t="s">
        <v>816</v>
      </c>
      <c r="D844" s="297" t="s">
        <v>9</v>
      </c>
      <c r="E844" s="788"/>
      <c r="F844" s="738" t="e">
        <f>#REF!</f>
        <v>#REF!</v>
      </c>
      <c r="G844" s="738" t="e">
        <f>#REF!</f>
        <v>#REF!</v>
      </c>
      <c r="H844" s="738" t="e">
        <f>#REF!</f>
        <v>#REF!</v>
      </c>
      <c r="I844" s="739" t="e">
        <f t="shared" si="547"/>
        <v>#REF!</v>
      </c>
      <c r="J844" s="739" t="e">
        <f t="shared" si="548"/>
        <v>#REF!</v>
      </c>
      <c r="K844" s="740" t="e">
        <f t="shared" si="549"/>
        <v>#REF!</v>
      </c>
      <c r="L844" s="735" t="e">
        <f t="shared" si="425"/>
        <v>#REF!</v>
      </c>
      <c r="N844" s="741" t="e">
        <f t="shared" si="426"/>
        <v>#REF!</v>
      </c>
      <c r="O844" s="741" t="e">
        <f t="shared" si="428"/>
        <v>#REF!</v>
      </c>
    </row>
    <row r="845" spans="1:15" s="298" customFormat="1" ht="17.100000000000001" customHeight="1">
      <c r="A845" s="736" t="e">
        <f t="shared" si="556"/>
        <v>#REF!</v>
      </c>
      <c r="B845" s="296" t="s">
        <v>817</v>
      </c>
      <c r="C845" s="296" t="s">
        <v>818</v>
      </c>
      <c r="D845" s="297" t="s">
        <v>9</v>
      </c>
      <c r="E845" s="788"/>
      <c r="F845" s="738" t="e">
        <f>#REF!</f>
        <v>#REF!</v>
      </c>
      <c r="G845" s="738" t="e">
        <f>#REF!</f>
        <v>#REF!</v>
      </c>
      <c r="H845" s="738" t="e">
        <f>#REF!</f>
        <v>#REF!</v>
      </c>
      <c r="I845" s="739" t="e">
        <f t="shared" si="547"/>
        <v>#REF!</v>
      </c>
      <c r="J845" s="739" t="e">
        <f t="shared" si="548"/>
        <v>#REF!</v>
      </c>
      <c r="K845" s="740" t="e">
        <f t="shared" si="549"/>
        <v>#REF!</v>
      </c>
      <c r="L845" s="735" t="e">
        <f t="shared" si="425"/>
        <v>#REF!</v>
      </c>
      <c r="N845" s="741" t="e">
        <f t="shared" si="426"/>
        <v>#REF!</v>
      </c>
      <c r="O845" s="741" t="e">
        <f t="shared" si="428"/>
        <v>#REF!</v>
      </c>
    </row>
    <row r="846" spans="1:15" s="298" customFormat="1" ht="17.100000000000001" customHeight="1">
      <c r="A846" s="736" t="e">
        <f t="shared" si="556"/>
        <v>#REF!</v>
      </c>
      <c r="B846" s="296" t="s">
        <v>819</v>
      </c>
      <c r="C846" s="296" t="s">
        <v>820</v>
      </c>
      <c r="D846" s="297" t="s">
        <v>9</v>
      </c>
      <c r="E846" s="788"/>
      <c r="F846" s="738" t="e">
        <f>#REF!</f>
        <v>#REF!</v>
      </c>
      <c r="G846" s="738" t="e">
        <f>#REF!</f>
        <v>#REF!</v>
      </c>
      <c r="H846" s="738" t="e">
        <f>#REF!</f>
        <v>#REF!</v>
      </c>
      <c r="I846" s="739" t="e">
        <f t="shared" si="547"/>
        <v>#REF!</v>
      </c>
      <c r="J846" s="739" t="e">
        <f t="shared" si="548"/>
        <v>#REF!</v>
      </c>
      <c r="K846" s="740" t="e">
        <f t="shared" si="549"/>
        <v>#REF!</v>
      </c>
      <c r="L846" s="735" t="e">
        <f t="shared" si="425"/>
        <v>#REF!</v>
      </c>
      <c r="N846" s="741" t="e">
        <f t="shared" si="426"/>
        <v>#REF!</v>
      </c>
      <c r="O846" s="741" t="e">
        <f t="shared" si="428"/>
        <v>#REF!</v>
      </c>
    </row>
    <row r="847" spans="1:15" s="298" customFormat="1" ht="17.100000000000001" hidden="1" customHeight="1">
      <c r="A847" s="736" t="e">
        <f t="shared" si="556"/>
        <v>#REF!</v>
      </c>
      <c r="B847" s="296" t="s">
        <v>1329</v>
      </c>
      <c r="C847" s="296" t="s">
        <v>820</v>
      </c>
      <c r="D847" s="297" t="s">
        <v>9</v>
      </c>
      <c r="E847" s="788"/>
      <c r="F847" s="738" t="e">
        <f>#REF!</f>
        <v>#REF!</v>
      </c>
      <c r="G847" s="738" t="e">
        <f>#REF!</f>
        <v>#REF!</v>
      </c>
      <c r="H847" s="738" t="e">
        <f>#REF!</f>
        <v>#REF!</v>
      </c>
      <c r="I847" s="739" t="e">
        <f t="shared" si="547"/>
        <v>#REF!</v>
      </c>
      <c r="J847" s="739" t="e">
        <f t="shared" si="548"/>
        <v>#REF!</v>
      </c>
      <c r="K847" s="740" t="e">
        <f t="shared" si="549"/>
        <v>#REF!</v>
      </c>
      <c r="L847" s="735" t="e">
        <f t="shared" si="425"/>
        <v>#REF!</v>
      </c>
      <c r="N847" s="741" t="e">
        <f t="shared" si="426"/>
        <v>#REF!</v>
      </c>
      <c r="O847" s="741" t="e">
        <f t="shared" si="428"/>
        <v>#REF!</v>
      </c>
    </row>
    <row r="848" spans="1:15" s="298" customFormat="1" ht="17.100000000000001" customHeight="1">
      <c r="A848" s="736" t="e">
        <f t="shared" si="556"/>
        <v>#REF!</v>
      </c>
      <c r="B848" s="296" t="s">
        <v>821</v>
      </c>
      <c r="C848" s="296" t="s">
        <v>822</v>
      </c>
      <c r="D848" s="297" t="s">
        <v>59</v>
      </c>
      <c r="E848" s="788"/>
      <c r="F848" s="738" t="e">
        <f>#REF!</f>
        <v>#REF!</v>
      </c>
      <c r="G848" s="738" t="e">
        <f>#REF!</f>
        <v>#REF!</v>
      </c>
      <c r="H848" s="738" t="e">
        <f>#REF!</f>
        <v>#REF!</v>
      </c>
      <c r="I848" s="739" t="e">
        <f t="shared" si="547"/>
        <v>#REF!</v>
      </c>
      <c r="J848" s="739" t="e">
        <f t="shared" si="548"/>
        <v>#REF!</v>
      </c>
      <c r="K848" s="740" t="e">
        <f t="shared" si="549"/>
        <v>#REF!</v>
      </c>
      <c r="L848" s="735" t="e">
        <f t="shared" si="425"/>
        <v>#REF!</v>
      </c>
      <c r="N848" s="741" t="e">
        <f t="shared" si="426"/>
        <v>#REF!</v>
      </c>
      <c r="O848" s="741" t="e">
        <f t="shared" si="428"/>
        <v>#REF!</v>
      </c>
    </row>
    <row r="849" spans="1:15" s="298" customFormat="1" ht="17.100000000000001" hidden="1" customHeight="1">
      <c r="A849" s="736" t="e">
        <f t="shared" si="556"/>
        <v>#REF!</v>
      </c>
      <c r="B849" s="296" t="s">
        <v>823</v>
      </c>
      <c r="C849" s="296" t="s">
        <v>824</v>
      </c>
      <c r="D849" s="297" t="s">
        <v>59</v>
      </c>
      <c r="E849" s="788"/>
      <c r="F849" s="738" t="e">
        <f>#REF!</f>
        <v>#REF!</v>
      </c>
      <c r="G849" s="738" t="e">
        <f>#REF!</f>
        <v>#REF!</v>
      </c>
      <c r="H849" s="738" t="e">
        <f>#REF!</f>
        <v>#REF!</v>
      </c>
      <c r="I849" s="739" t="e">
        <f t="shared" si="547"/>
        <v>#REF!</v>
      </c>
      <c r="J849" s="739" t="e">
        <f t="shared" si="548"/>
        <v>#REF!</v>
      </c>
      <c r="K849" s="740" t="e">
        <f t="shared" si="549"/>
        <v>#REF!</v>
      </c>
      <c r="L849" s="735" t="e">
        <f t="shared" si="425"/>
        <v>#REF!</v>
      </c>
      <c r="N849" s="741" t="e">
        <f t="shared" si="426"/>
        <v>#REF!</v>
      </c>
      <c r="O849" s="741" t="e">
        <f t="shared" si="428"/>
        <v>#REF!</v>
      </c>
    </row>
    <row r="850" spans="1:15" s="298" customFormat="1" ht="17.100000000000001" hidden="1" customHeight="1">
      <c r="A850" s="736" t="e">
        <f t="shared" si="556"/>
        <v>#REF!</v>
      </c>
      <c r="B850" s="296" t="s">
        <v>825</v>
      </c>
      <c r="C850" s="296" t="s">
        <v>826</v>
      </c>
      <c r="D850" s="297" t="s">
        <v>59</v>
      </c>
      <c r="E850" s="788"/>
      <c r="F850" s="738" t="e">
        <f>#REF!</f>
        <v>#REF!</v>
      </c>
      <c r="G850" s="738" t="e">
        <f>#REF!</f>
        <v>#REF!</v>
      </c>
      <c r="H850" s="738" t="e">
        <f>#REF!</f>
        <v>#REF!</v>
      </c>
      <c r="I850" s="739" t="e">
        <f t="shared" si="547"/>
        <v>#REF!</v>
      </c>
      <c r="J850" s="739" t="e">
        <f t="shared" si="548"/>
        <v>#REF!</v>
      </c>
      <c r="K850" s="740" t="e">
        <f t="shared" si="549"/>
        <v>#REF!</v>
      </c>
      <c r="L850" s="735" t="e">
        <f t="shared" si="425"/>
        <v>#REF!</v>
      </c>
      <c r="N850" s="741" t="e">
        <f t="shared" si="426"/>
        <v>#REF!</v>
      </c>
      <c r="O850" s="741" t="e">
        <f t="shared" si="428"/>
        <v>#REF!</v>
      </c>
    </row>
    <row r="851" spans="1:15" s="298" customFormat="1" ht="17.100000000000001" customHeight="1">
      <c r="A851" s="736" t="e">
        <f t="shared" si="556"/>
        <v>#REF!</v>
      </c>
      <c r="B851" s="296" t="s">
        <v>827</v>
      </c>
      <c r="C851" s="296" t="s">
        <v>828</v>
      </c>
      <c r="D851" s="297" t="s">
        <v>59</v>
      </c>
      <c r="E851" s="788"/>
      <c r="F851" s="738" t="e">
        <f>#REF!</f>
        <v>#REF!</v>
      </c>
      <c r="G851" s="738" t="e">
        <f>#REF!</f>
        <v>#REF!</v>
      </c>
      <c r="H851" s="738" t="e">
        <f>#REF!</f>
        <v>#REF!</v>
      </c>
      <c r="I851" s="739" t="e">
        <f t="shared" si="547"/>
        <v>#REF!</v>
      </c>
      <c r="J851" s="739" t="e">
        <f t="shared" si="548"/>
        <v>#REF!</v>
      </c>
      <c r="K851" s="740" t="e">
        <f t="shared" si="549"/>
        <v>#REF!</v>
      </c>
      <c r="L851" s="735" t="e">
        <f t="shared" si="425"/>
        <v>#REF!</v>
      </c>
      <c r="N851" s="741" t="e">
        <f t="shared" si="426"/>
        <v>#REF!</v>
      </c>
      <c r="O851" s="741" t="e">
        <f t="shared" si="428"/>
        <v>#REF!</v>
      </c>
    </row>
    <row r="852" spans="1:15" s="298" customFormat="1" ht="17.100000000000001" customHeight="1">
      <c r="A852" s="736" t="e">
        <f t="shared" si="556"/>
        <v>#REF!</v>
      </c>
      <c r="B852" s="296" t="s">
        <v>829</v>
      </c>
      <c r="C852" s="296" t="s">
        <v>830</v>
      </c>
      <c r="D852" s="297" t="s">
        <v>59</v>
      </c>
      <c r="E852" s="788"/>
      <c r="F852" s="738" t="e">
        <f>#REF!</f>
        <v>#REF!</v>
      </c>
      <c r="G852" s="738" t="e">
        <f>#REF!</f>
        <v>#REF!</v>
      </c>
      <c r="H852" s="738" t="e">
        <f>#REF!</f>
        <v>#REF!</v>
      </c>
      <c r="I852" s="739" t="e">
        <f t="shared" si="547"/>
        <v>#REF!</v>
      </c>
      <c r="J852" s="739" t="e">
        <f t="shared" si="548"/>
        <v>#REF!</v>
      </c>
      <c r="K852" s="740" t="e">
        <f t="shared" si="549"/>
        <v>#REF!</v>
      </c>
      <c r="L852" s="735" t="e">
        <f t="shared" si="425"/>
        <v>#REF!</v>
      </c>
      <c r="N852" s="741" t="e">
        <f t="shared" si="426"/>
        <v>#REF!</v>
      </c>
      <c r="O852" s="741" t="e">
        <f t="shared" si="428"/>
        <v>#REF!</v>
      </c>
    </row>
    <row r="853" spans="1:15" s="298" customFormat="1" ht="17.100000000000001" hidden="1" customHeight="1">
      <c r="A853" s="736" t="e">
        <f t="shared" si="556"/>
        <v>#REF!</v>
      </c>
      <c r="B853" s="296" t="s">
        <v>62</v>
      </c>
      <c r="C853" s="296" t="s">
        <v>831</v>
      </c>
      <c r="D853" s="297" t="s">
        <v>59</v>
      </c>
      <c r="E853" s="788"/>
      <c r="F853" s="738" t="e">
        <f>#REF!</f>
        <v>#REF!</v>
      </c>
      <c r="G853" s="738" t="e">
        <f>#REF!</f>
        <v>#REF!</v>
      </c>
      <c r="H853" s="738" t="e">
        <f>#REF!</f>
        <v>#REF!</v>
      </c>
      <c r="I853" s="739" t="e">
        <f t="shared" si="547"/>
        <v>#REF!</v>
      </c>
      <c r="J853" s="739" t="e">
        <f t="shared" si="548"/>
        <v>#REF!</v>
      </c>
      <c r="K853" s="740" t="e">
        <f t="shared" si="549"/>
        <v>#REF!</v>
      </c>
      <c r="L853" s="735" t="e">
        <f t="shared" si="425"/>
        <v>#REF!</v>
      </c>
      <c r="N853" s="741" t="e">
        <f t="shared" si="426"/>
        <v>#REF!</v>
      </c>
      <c r="O853" s="741" t="e">
        <f t="shared" si="428"/>
        <v>#REF!</v>
      </c>
    </row>
    <row r="854" spans="1:15" s="298" customFormat="1" ht="17.100000000000001" customHeight="1">
      <c r="A854" s="736" t="e">
        <f t="shared" si="556"/>
        <v>#REF!</v>
      </c>
      <c r="B854" s="296" t="s">
        <v>1395</v>
      </c>
      <c r="C854" s="296" t="s">
        <v>1955</v>
      </c>
      <c r="D854" s="297" t="s">
        <v>2</v>
      </c>
      <c r="E854" s="788"/>
      <c r="F854" s="738" t="e">
        <f>#REF!</f>
        <v>#REF!</v>
      </c>
      <c r="G854" s="738" t="e">
        <f>#REF!</f>
        <v>#REF!</v>
      </c>
      <c r="H854" s="738" t="e">
        <f>#REF!</f>
        <v>#REF!</v>
      </c>
      <c r="I854" s="739" t="e">
        <f t="shared" si="547"/>
        <v>#REF!</v>
      </c>
      <c r="J854" s="739" t="e">
        <f t="shared" si="548"/>
        <v>#REF!</v>
      </c>
      <c r="K854" s="740" t="e">
        <f t="shared" si="549"/>
        <v>#REF!</v>
      </c>
      <c r="L854" s="735" t="e">
        <f t="shared" si="425"/>
        <v>#REF!</v>
      </c>
      <c r="N854" s="741" t="e">
        <f t="shared" si="426"/>
        <v>#REF!</v>
      </c>
      <c r="O854" s="741" t="e">
        <f t="shared" si="428"/>
        <v>#REF!</v>
      </c>
    </row>
    <row r="855" spans="1:15" s="298" customFormat="1" ht="17.100000000000001" customHeight="1">
      <c r="A855" s="736" t="e">
        <f t="shared" si="556"/>
        <v>#REF!</v>
      </c>
      <c r="B855" s="296" t="s">
        <v>84</v>
      </c>
      <c r="C855" s="296" t="s">
        <v>85</v>
      </c>
      <c r="D855" s="297" t="s">
        <v>9</v>
      </c>
      <c r="E855" s="788"/>
      <c r="F855" s="738" t="e">
        <f>#REF!</f>
        <v>#REF!</v>
      </c>
      <c r="G855" s="738" t="e">
        <f>#REF!</f>
        <v>#REF!</v>
      </c>
      <c r="H855" s="738" t="e">
        <f>#REF!</f>
        <v>#REF!</v>
      </c>
      <c r="I855" s="739" t="e">
        <f t="shared" si="547"/>
        <v>#REF!</v>
      </c>
      <c r="J855" s="739" t="e">
        <f t="shared" si="548"/>
        <v>#REF!</v>
      </c>
      <c r="K855" s="740" t="e">
        <f t="shared" si="549"/>
        <v>#REF!</v>
      </c>
      <c r="L855" s="735" t="e">
        <f t="shared" si="425"/>
        <v>#REF!</v>
      </c>
      <c r="N855" s="741" t="e">
        <f t="shared" si="426"/>
        <v>#REF!</v>
      </c>
      <c r="O855" s="741" t="e">
        <f t="shared" si="428"/>
        <v>#REF!</v>
      </c>
    </row>
    <row r="856" spans="1:15" s="298" customFormat="1" ht="17.100000000000001" hidden="1" customHeight="1">
      <c r="A856" s="736" t="e">
        <f t="shared" si="556"/>
        <v>#REF!</v>
      </c>
      <c r="B856" s="296" t="s">
        <v>832</v>
      </c>
      <c r="C856" s="296" t="s">
        <v>833</v>
      </c>
      <c r="D856" s="297" t="s">
        <v>310</v>
      </c>
      <c r="E856" s="788"/>
      <c r="F856" s="738" t="e">
        <f>#REF!</f>
        <v>#REF!</v>
      </c>
      <c r="G856" s="738" t="e">
        <f>#REF!</f>
        <v>#REF!</v>
      </c>
      <c r="H856" s="738"/>
      <c r="I856" s="739" t="e">
        <f t="shared" si="547"/>
        <v>#REF!</v>
      </c>
      <c r="J856" s="739" t="e">
        <f t="shared" si="548"/>
        <v>#REF!</v>
      </c>
      <c r="K856" s="740">
        <f t="shared" si="549"/>
        <v>0</v>
      </c>
      <c r="L856" s="735" t="e">
        <f t="shared" si="425"/>
        <v>#REF!</v>
      </c>
      <c r="N856" s="741" t="e">
        <f t="shared" si="426"/>
        <v>#REF!</v>
      </c>
      <c r="O856" s="741" t="e">
        <f t="shared" si="428"/>
        <v>#REF!</v>
      </c>
    </row>
    <row r="857" spans="1:15" s="298" customFormat="1" ht="17.100000000000001" customHeight="1">
      <c r="A857" s="736" t="e">
        <f t="shared" si="556"/>
        <v>#REF!</v>
      </c>
      <c r="B857" s="296" t="s">
        <v>690</v>
      </c>
      <c r="C857" s="296" t="s">
        <v>834</v>
      </c>
      <c r="D857" s="297" t="s">
        <v>2</v>
      </c>
      <c r="E857" s="788"/>
      <c r="F857" s="738" t="e">
        <f>#REF!</f>
        <v>#REF!</v>
      </c>
      <c r="G857" s="738" t="e">
        <f>#REF!</f>
        <v>#REF!</v>
      </c>
      <c r="H857" s="738" t="e">
        <f>#REF!</f>
        <v>#REF!</v>
      </c>
      <c r="I857" s="739" t="e">
        <f t="shared" si="547"/>
        <v>#REF!</v>
      </c>
      <c r="J857" s="739" t="e">
        <f t="shared" si="548"/>
        <v>#REF!</v>
      </c>
      <c r="K857" s="740" t="e">
        <f t="shared" si="549"/>
        <v>#REF!</v>
      </c>
      <c r="L857" s="735" t="e">
        <f t="shared" si="425"/>
        <v>#REF!</v>
      </c>
      <c r="N857" s="741" t="e">
        <f t="shared" si="426"/>
        <v>#REF!</v>
      </c>
      <c r="O857" s="741" t="e">
        <f t="shared" si="428"/>
        <v>#REF!</v>
      </c>
    </row>
    <row r="858" spans="1:15" s="298" customFormat="1" ht="17.100000000000001" customHeight="1">
      <c r="A858" s="736" t="e">
        <f t="shared" si="556"/>
        <v>#REF!</v>
      </c>
      <c r="B858" s="296" t="s">
        <v>546</v>
      </c>
      <c r="C858" s="296" t="s">
        <v>835</v>
      </c>
      <c r="D858" s="297" t="s">
        <v>2</v>
      </c>
      <c r="E858" s="788"/>
      <c r="F858" s="738" t="e">
        <f>#REF!</f>
        <v>#REF!</v>
      </c>
      <c r="G858" s="738" t="e">
        <f>#REF!</f>
        <v>#REF!</v>
      </c>
      <c r="H858" s="738" t="e">
        <f>#REF!</f>
        <v>#REF!</v>
      </c>
      <c r="I858" s="739" t="e">
        <f t="shared" si="547"/>
        <v>#REF!</v>
      </c>
      <c r="J858" s="739" t="e">
        <f t="shared" si="548"/>
        <v>#REF!</v>
      </c>
      <c r="K858" s="740" t="e">
        <f t="shared" si="549"/>
        <v>#REF!</v>
      </c>
      <c r="L858" s="735" t="e">
        <f t="shared" si="425"/>
        <v>#REF!</v>
      </c>
      <c r="N858" s="741" t="e">
        <f t="shared" si="426"/>
        <v>#REF!</v>
      </c>
      <c r="O858" s="741" t="e">
        <f t="shared" si="428"/>
        <v>#REF!</v>
      </c>
    </row>
    <row r="859" spans="1:15" s="298" customFormat="1" ht="17.100000000000001" customHeight="1">
      <c r="A859" s="838" t="e">
        <f t="shared" si="556"/>
        <v>#REF!</v>
      </c>
      <c r="B859" s="296" t="s">
        <v>1746</v>
      </c>
      <c r="C859" s="737" t="s">
        <v>1964</v>
      </c>
      <c r="D859" s="297" t="s">
        <v>0</v>
      </c>
      <c r="E859" s="788"/>
      <c r="F859" s="738"/>
      <c r="G859" s="738"/>
      <c r="H859" s="738"/>
      <c r="I859" s="739"/>
      <c r="J859" s="739"/>
      <c r="K859" s="740"/>
      <c r="L859" s="735">
        <f t="shared" si="425"/>
        <v>1</v>
      </c>
      <c r="N859" s="741">
        <f t="shared" si="426"/>
        <v>0</v>
      </c>
      <c r="O859" s="741">
        <f t="shared" si="428"/>
        <v>0</v>
      </c>
    </row>
    <row r="860" spans="1:15" s="298" customFormat="1" ht="17.100000000000001" customHeight="1">
      <c r="A860" s="736" t="e">
        <f t="shared" si="556"/>
        <v>#REF!</v>
      </c>
      <c r="B860" s="296" t="s">
        <v>583</v>
      </c>
      <c r="C860" s="296" t="s">
        <v>1956</v>
      </c>
      <c r="D860" s="297" t="s">
        <v>2</v>
      </c>
      <c r="E860" s="788"/>
      <c r="F860" s="738" t="e">
        <f>#REF!</f>
        <v>#REF!</v>
      </c>
      <c r="G860" s="738" t="e">
        <f>#REF!</f>
        <v>#REF!</v>
      </c>
      <c r="H860" s="738" t="e">
        <f>#REF!</f>
        <v>#REF!</v>
      </c>
      <c r="I860" s="739" t="e">
        <f>E860*F860</f>
        <v>#REF!</v>
      </c>
      <c r="J860" s="739" t="e">
        <f>E860*G860</f>
        <v>#REF!</v>
      </c>
      <c r="K860" s="740" t="e">
        <f>E860*H860</f>
        <v>#REF!</v>
      </c>
      <c r="L860" s="735" t="e">
        <f t="shared" si="425"/>
        <v>#REF!</v>
      </c>
      <c r="N860" s="741" t="e">
        <f t="shared" si="426"/>
        <v>#REF!</v>
      </c>
      <c r="O860" s="741" t="e">
        <f t="shared" si="428"/>
        <v>#REF!</v>
      </c>
    </row>
    <row r="861" spans="1:15" s="298" customFormat="1" ht="17.100000000000001" customHeight="1">
      <c r="A861" s="736" t="e">
        <f t="shared" si="556"/>
        <v>#REF!</v>
      </c>
      <c r="B861" s="296" t="s">
        <v>38</v>
      </c>
      <c r="C861" s="296" t="s">
        <v>85</v>
      </c>
      <c r="D861" s="297" t="s">
        <v>9</v>
      </c>
      <c r="E861" s="788"/>
      <c r="F861" s="738" t="e">
        <f>#REF!</f>
        <v>#REF!</v>
      </c>
      <c r="G861" s="738" t="e">
        <f>#REF!</f>
        <v>#REF!</v>
      </c>
      <c r="H861" s="738" t="e">
        <f>#REF!</f>
        <v>#REF!</v>
      </c>
      <c r="I861" s="739" t="e">
        <f>E861*F861</f>
        <v>#REF!</v>
      </c>
      <c r="J861" s="739" t="e">
        <f>E861*G861</f>
        <v>#REF!</v>
      </c>
      <c r="K861" s="740" t="e">
        <f>E861*H861</f>
        <v>#REF!</v>
      </c>
      <c r="L861" s="735" t="e">
        <f t="shared" si="425"/>
        <v>#REF!</v>
      </c>
      <c r="N861" s="741" t="e">
        <f t="shared" si="426"/>
        <v>#REF!</v>
      </c>
      <c r="O861" s="741" t="e">
        <f t="shared" si="428"/>
        <v>#REF!</v>
      </c>
    </row>
    <row r="862" spans="1:15" s="298" customFormat="1" ht="17.100000000000001" hidden="1" customHeight="1">
      <c r="A862" s="736" t="e">
        <f t="shared" si="556"/>
        <v>#REF!</v>
      </c>
      <c r="B862" s="296" t="s">
        <v>62</v>
      </c>
      <c r="C862" s="296" t="s">
        <v>836</v>
      </c>
      <c r="D862" s="297" t="s">
        <v>59</v>
      </c>
      <c r="E862" s="788"/>
      <c r="F862" s="738" t="e">
        <f>#REF!</f>
        <v>#REF!</v>
      </c>
      <c r="G862" s="738" t="e">
        <f>#REF!</f>
        <v>#REF!</v>
      </c>
      <c r="H862" s="738" t="e">
        <f>#REF!</f>
        <v>#REF!</v>
      </c>
      <c r="I862" s="739" t="e">
        <f>E862*F862</f>
        <v>#REF!</v>
      </c>
      <c r="J862" s="739" t="e">
        <f>E862*G862</f>
        <v>#REF!</v>
      </c>
      <c r="K862" s="740" t="e">
        <f>E862*H862</f>
        <v>#REF!</v>
      </c>
      <c r="L862" s="735" t="e">
        <f t="shared" si="425"/>
        <v>#REF!</v>
      </c>
      <c r="N862" s="741" t="e">
        <f t="shared" si="426"/>
        <v>#REF!</v>
      </c>
      <c r="O862" s="741" t="e">
        <f t="shared" si="428"/>
        <v>#REF!</v>
      </c>
    </row>
    <row r="863" spans="1:15" s="298" customFormat="1" ht="17.100000000000001" customHeight="1">
      <c r="A863" s="736" t="e">
        <f t="shared" si="556"/>
        <v>#REF!</v>
      </c>
      <c r="B863" s="296" t="s">
        <v>663</v>
      </c>
      <c r="C863" s="296" t="s">
        <v>837</v>
      </c>
      <c r="D863" s="297" t="s">
        <v>59</v>
      </c>
      <c r="E863" s="788"/>
      <c r="F863" s="738" t="e">
        <f>#REF!</f>
        <v>#REF!</v>
      </c>
      <c r="G863" s="738" t="e">
        <f>#REF!</f>
        <v>#REF!</v>
      </c>
      <c r="H863" s="738" t="e">
        <f>#REF!</f>
        <v>#REF!</v>
      </c>
      <c r="I863" s="739" t="e">
        <f>E863*F863</f>
        <v>#REF!</v>
      </c>
      <c r="J863" s="739" t="e">
        <f>E863*G863</f>
        <v>#REF!</v>
      </c>
      <c r="K863" s="740" t="e">
        <f>E863*H863</f>
        <v>#REF!</v>
      </c>
      <c r="L863" s="735" t="e">
        <f t="shared" si="425"/>
        <v>#REF!</v>
      </c>
      <c r="N863" s="741" t="e">
        <f t="shared" si="426"/>
        <v>#REF!</v>
      </c>
      <c r="O863" s="741" t="e">
        <f t="shared" si="428"/>
        <v>#REF!</v>
      </c>
    </row>
    <row r="864" spans="1:15" s="298" customFormat="1" ht="17.100000000000001" customHeight="1">
      <c r="A864" s="736" t="e">
        <f t="shared" si="556"/>
        <v>#REF!</v>
      </c>
      <c r="B864" s="296" t="s">
        <v>690</v>
      </c>
      <c r="C864" s="296" t="s">
        <v>838</v>
      </c>
      <c r="D864" s="297" t="s">
        <v>2</v>
      </c>
      <c r="E864" s="788"/>
      <c r="F864" s="738" t="e">
        <f>#REF!</f>
        <v>#REF!</v>
      </c>
      <c r="G864" s="738" t="e">
        <f>#REF!</f>
        <v>#REF!</v>
      </c>
      <c r="H864" s="738" t="e">
        <f>#REF!</f>
        <v>#REF!</v>
      </c>
      <c r="I864" s="739" t="e">
        <f>E864*F864</f>
        <v>#REF!</v>
      </c>
      <c r="J864" s="739" t="e">
        <f>E864*G864</f>
        <v>#REF!</v>
      </c>
      <c r="K864" s="740" t="e">
        <f>E864*H864</f>
        <v>#REF!</v>
      </c>
      <c r="L864" s="735" t="e">
        <f t="shared" si="425"/>
        <v>#REF!</v>
      </c>
      <c r="N864" s="741" t="e">
        <f t="shared" si="426"/>
        <v>#REF!</v>
      </c>
      <c r="O864" s="741" t="e">
        <f t="shared" si="428"/>
        <v>#REF!</v>
      </c>
    </row>
    <row r="865" spans="1:15" s="298" customFormat="1" ht="17.100000000000001" customHeight="1">
      <c r="A865" s="838" t="e">
        <f t="shared" si="556"/>
        <v>#REF!</v>
      </c>
      <c r="B865" s="296" t="s">
        <v>1746</v>
      </c>
      <c r="C865" s="737" t="s">
        <v>839</v>
      </c>
      <c r="D865" s="297" t="s">
        <v>0</v>
      </c>
      <c r="E865" s="788"/>
      <c r="F865" s="738"/>
      <c r="G865" s="738"/>
      <c r="H865" s="738"/>
      <c r="I865" s="739"/>
      <c r="J865" s="739"/>
      <c r="K865" s="740"/>
      <c r="L865" s="735">
        <f t="shared" si="425"/>
        <v>1</v>
      </c>
      <c r="N865" s="741">
        <f t="shared" si="426"/>
        <v>0</v>
      </c>
      <c r="O865" s="741">
        <f t="shared" si="428"/>
        <v>0</v>
      </c>
    </row>
    <row r="866" spans="1:15" s="298" customFormat="1" ht="17.100000000000001" hidden="1" customHeight="1">
      <c r="A866" s="736" t="e">
        <f t="shared" si="556"/>
        <v>#REF!</v>
      </c>
      <c r="B866" s="296" t="s">
        <v>895</v>
      </c>
      <c r="C866" s="296" t="s">
        <v>840</v>
      </c>
      <c r="D866" s="297" t="s">
        <v>2</v>
      </c>
      <c r="E866" s="788"/>
      <c r="F866" s="738" t="e">
        <f>#REF!</f>
        <v>#REF!</v>
      </c>
      <c r="G866" s="738" t="e">
        <f>#REF!</f>
        <v>#REF!</v>
      </c>
      <c r="H866" s="738" t="e">
        <f>#REF!</f>
        <v>#REF!</v>
      </c>
      <c r="I866" s="739" t="e">
        <f t="shared" ref="I866:I873" si="557">E866*F866</f>
        <v>#REF!</v>
      </c>
      <c r="J866" s="739" t="e">
        <f t="shared" ref="J866:J873" si="558">E866*G866</f>
        <v>#REF!</v>
      </c>
      <c r="K866" s="740" t="e">
        <f t="shared" ref="K866:K873" si="559">E866*H866</f>
        <v>#REF!</v>
      </c>
      <c r="L866" s="735" t="e">
        <f t="shared" si="425"/>
        <v>#REF!</v>
      </c>
      <c r="N866" s="741" t="e">
        <f t="shared" si="426"/>
        <v>#REF!</v>
      </c>
      <c r="O866" s="741" t="e">
        <f t="shared" si="428"/>
        <v>#REF!</v>
      </c>
    </row>
    <row r="867" spans="1:15" s="298" customFormat="1" ht="17.100000000000001" customHeight="1">
      <c r="A867" s="736" t="e">
        <f t="shared" si="556"/>
        <v>#REF!</v>
      </c>
      <c r="B867" s="296" t="s">
        <v>1584</v>
      </c>
      <c r="C867" s="296" t="s">
        <v>1957</v>
      </c>
      <c r="D867" s="297" t="s">
        <v>2</v>
      </c>
      <c r="E867" s="788"/>
      <c r="F867" s="738" t="e">
        <f>#REF!</f>
        <v>#REF!</v>
      </c>
      <c r="G867" s="738" t="e">
        <f>#REF!</f>
        <v>#REF!</v>
      </c>
      <c r="H867" s="738" t="e">
        <f>#REF!</f>
        <v>#REF!</v>
      </c>
      <c r="I867" s="739" t="e">
        <f t="shared" si="557"/>
        <v>#REF!</v>
      </c>
      <c r="J867" s="739" t="e">
        <f t="shared" si="558"/>
        <v>#REF!</v>
      </c>
      <c r="K867" s="740" t="e">
        <f t="shared" si="559"/>
        <v>#REF!</v>
      </c>
      <c r="L867" s="735" t="e">
        <f t="shared" ref="L867" si="560">IF(OR(SUM(I867:K867)&lt;&gt;0,B867="*"),$L$5,0)</f>
        <v>#REF!</v>
      </c>
      <c r="N867" s="741" t="e">
        <f t="shared" ref="N867" si="561">SUM(F867:H867)*1.278</f>
        <v>#REF!</v>
      </c>
      <c r="O867" s="741" t="e">
        <f t="shared" si="428"/>
        <v>#REF!</v>
      </c>
    </row>
    <row r="868" spans="1:15" s="298" customFormat="1" ht="17.100000000000001" customHeight="1">
      <c r="A868" s="736" t="e">
        <f t="shared" si="556"/>
        <v>#REF!</v>
      </c>
      <c r="B868" s="296" t="s">
        <v>38</v>
      </c>
      <c r="C868" s="296" t="s">
        <v>85</v>
      </c>
      <c r="D868" s="297" t="s">
        <v>9</v>
      </c>
      <c r="E868" s="788"/>
      <c r="F868" s="738" t="e">
        <f>#REF!</f>
        <v>#REF!</v>
      </c>
      <c r="G868" s="738" t="e">
        <f>#REF!</f>
        <v>#REF!</v>
      </c>
      <c r="H868" s="738" t="e">
        <f>#REF!</f>
        <v>#REF!</v>
      </c>
      <c r="I868" s="739" t="e">
        <f t="shared" si="557"/>
        <v>#REF!</v>
      </c>
      <c r="J868" s="739" t="e">
        <f t="shared" si="558"/>
        <v>#REF!</v>
      </c>
      <c r="K868" s="740" t="e">
        <f t="shared" si="559"/>
        <v>#REF!</v>
      </c>
      <c r="L868" s="735" t="e">
        <f t="shared" si="425"/>
        <v>#REF!</v>
      </c>
      <c r="N868" s="741" t="e">
        <f t="shared" si="426"/>
        <v>#REF!</v>
      </c>
      <c r="O868" s="741" t="e">
        <f t="shared" si="428"/>
        <v>#REF!</v>
      </c>
    </row>
    <row r="869" spans="1:15" s="298" customFormat="1" ht="17.100000000000001" customHeight="1">
      <c r="A869" s="736" t="e">
        <f t="shared" si="556"/>
        <v>#REF!</v>
      </c>
      <c r="B869" s="296" t="s">
        <v>768</v>
      </c>
      <c r="C869" s="296" t="s">
        <v>841</v>
      </c>
      <c r="D869" s="297" t="s">
        <v>9</v>
      </c>
      <c r="E869" s="788"/>
      <c r="F869" s="738" t="e">
        <f>#REF!</f>
        <v>#REF!</v>
      </c>
      <c r="G869" s="738" t="e">
        <f>#REF!</f>
        <v>#REF!</v>
      </c>
      <c r="H869" s="738"/>
      <c r="I869" s="739" t="e">
        <f t="shared" si="557"/>
        <v>#REF!</v>
      </c>
      <c r="J869" s="739" t="e">
        <f t="shared" si="558"/>
        <v>#REF!</v>
      </c>
      <c r="K869" s="740">
        <f t="shared" si="559"/>
        <v>0</v>
      </c>
      <c r="L869" s="735" t="e">
        <f t="shared" si="425"/>
        <v>#REF!</v>
      </c>
      <c r="N869" s="741" t="e">
        <f t="shared" si="426"/>
        <v>#REF!</v>
      </c>
      <c r="O869" s="741" t="e">
        <f t="shared" si="428"/>
        <v>#REF!</v>
      </c>
    </row>
    <row r="870" spans="1:15" s="298" customFormat="1" ht="17.100000000000001" hidden="1" customHeight="1">
      <c r="A870" s="736" t="e">
        <f t="shared" si="556"/>
        <v>#REF!</v>
      </c>
      <c r="B870" s="296" t="s">
        <v>663</v>
      </c>
      <c r="C870" s="296" t="s">
        <v>842</v>
      </c>
      <c r="D870" s="297" t="s">
        <v>59</v>
      </c>
      <c r="E870" s="788"/>
      <c r="F870" s="738" t="e">
        <f>#REF!</f>
        <v>#REF!</v>
      </c>
      <c r="G870" s="738" t="e">
        <f>#REF!</f>
        <v>#REF!</v>
      </c>
      <c r="H870" s="738" t="e">
        <f>#REF!</f>
        <v>#REF!</v>
      </c>
      <c r="I870" s="739" t="e">
        <f t="shared" si="557"/>
        <v>#REF!</v>
      </c>
      <c r="J870" s="739" t="e">
        <f t="shared" si="558"/>
        <v>#REF!</v>
      </c>
      <c r="K870" s="740" t="e">
        <f t="shared" si="559"/>
        <v>#REF!</v>
      </c>
      <c r="L870" s="735" t="e">
        <f t="shared" si="425"/>
        <v>#REF!</v>
      </c>
      <c r="N870" s="741" t="e">
        <f t="shared" si="426"/>
        <v>#REF!</v>
      </c>
      <c r="O870" s="741" t="e">
        <f t="shared" si="428"/>
        <v>#REF!</v>
      </c>
    </row>
    <row r="871" spans="1:15" s="298" customFormat="1" ht="17.100000000000001" hidden="1" customHeight="1">
      <c r="A871" s="736" t="e">
        <f t="shared" si="556"/>
        <v>#REF!</v>
      </c>
      <c r="B871" s="296" t="s">
        <v>843</v>
      </c>
      <c r="C871" s="296" t="s">
        <v>844</v>
      </c>
      <c r="D871" s="297" t="s">
        <v>59</v>
      </c>
      <c r="E871" s="788"/>
      <c r="F871" s="738"/>
      <c r="G871" s="738" t="e">
        <f>#REF!</f>
        <v>#REF!</v>
      </c>
      <c r="H871" s="738"/>
      <c r="I871" s="739">
        <f t="shared" si="557"/>
        <v>0</v>
      </c>
      <c r="J871" s="739" t="e">
        <f t="shared" si="558"/>
        <v>#REF!</v>
      </c>
      <c r="K871" s="740">
        <f t="shared" si="559"/>
        <v>0</v>
      </c>
      <c r="L871" s="735" t="e">
        <f t="shared" si="425"/>
        <v>#REF!</v>
      </c>
      <c r="N871" s="741" t="e">
        <f t="shared" si="426"/>
        <v>#REF!</v>
      </c>
      <c r="O871" s="741" t="e">
        <f t="shared" si="428"/>
        <v>#REF!</v>
      </c>
    </row>
    <row r="872" spans="1:15" s="298" customFormat="1" ht="17.100000000000001" hidden="1" customHeight="1">
      <c r="A872" s="736" t="e">
        <f t="shared" si="556"/>
        <v>#REF!</v>
      </c>
      <c r="B872" s="296" t="s">
        <v>845</v>
      </c>
      <c r="C872" s="296" t="s">
        <v>846</v>
      </c>
      <c r="D872" s="297" t="s">
        <v>59</v>
      </c>
      <c r="E872" s="788"/>
      <c r="F872" s="738" t="e">
        <f>#REF!</f>
        <v>#REF!</v>
      </c>
      <c r="G872" s="738"/>
      <c r="H872" s="738"/>
      <c r="I872" s="739" t="e">
        <f t="shared" si="557"/>
        <v>#REF!</v>
      </c>
      <c r="J872" s="739">
        <f t="shared" si="558"/>
        <v>0</v>
      </c>
      <c r="K872" s="740">
        <f t="shared" si="559"/>
        <v>0</v>
      </c>
      <c r="L872" s="735" t="e">
        <f t="shared" si="425"/>
        <v>#REF!</v>
      </c>
      <c r="N872" s="741" t="e">
        <f t="shared" si="426"/>
        <v>#REF!</v>
      </c>
      <c r="O872" s="741" t="e">
        <f t="shared" si="428"/>
        <v>#REF!</v>
      </c>
    </row>
    <row r="873" spans="1:15" s="298" customFormat="1" ht="17.100000000000001" hidden="1" customHeight="1">
      <c r="A873" s="736" t="e">
        <f t="shared" si="556"/>
        <v>#REF!</v>
      </c>
      <c r="B873" s="296" t="s">
        <v>847</v>
      </c>
      <c r="C873" s="296" t="s">
        <v>848</v>
      </c>
      <c r="D873" s="297" t="s">
        <v>607</v>
      </c>
      <c r="E873" s="788"/>
      <c r="F873" s="738" t="e">
        <f>#REF!</f>
        <v>#REF!</v>
      </c>
      <c r="G873" s="738"/>
      <c r="H873" s="738"/>
      <c r="I873" s="739" t="e">
        <f t="shared" si="557"/>
        <v>#REF!</v>
      </c>
      <c r="J873" s="739">
        <f t="shared" si="558"/>
        <v>0</v>
      </c>
      <c r="K873" s="740">
        <f t="shared" si="559"/>
        <v>0</v>
      </c>
      <c r="L873" s="735" t="e">
        <f t="shared" si="425"/>
        <v>#REF!</v>
      </c>
      <c r="N873" s="741" t="e">
        <f t="shared" si="426"/>
        <v>#REF!</v>
      </c>
      <c r="O873" s="741" t="e">
        <f t="shared" si="428"/>
        <v>#REF!</v>
      </c>
    </row>
    <row r="874" spans="1:15" s="298" customFormat="1" ht="17.100000000000001" customHeight="1">
      <c r="A874" s="838" t="e">
        <f t="shared" si="556"/>
        <v>#REF!</v>
      </c>
      <c r="B874" s="296" t="s">
        <v>1746</v>
      </c>
      <c r="C874" s="737" t="s">
        <v>849</v>
      </c>
      <c r="D874" s="297" t="s">
        <v>0</v>
      </c>
      <c r="E874" s="788"/>
      <c r="F874" s="738"/>
      <c r="G874" s="738"/>
      <c r="H874" s="738"/>
      <c r="I874" s="739"/>
      <c r="J874" s="739"/>
      <c r="K874" s="740"/>
      <c r="L874" s="735">
        <f t="shared" si="425"/>
        <v>1</v>
      </c>
      <c r="N874" s="741">
        <f t="shared" si="426"/>
        <v>0</v>
      </c>
      <c r="O874" s="741">
        <f t="shared" si="428"/>
        <v>0</v>
      </c>
    </row>
    <row r="875" spans="1:15" s="298" customFormat="1" ht="17.100000000000001" customHeight="1">
      <c r="A875" s="736" t="e">
        <f t="shared" si="556"/>
        <v>#REF!</v>
      </c>
      <c r="B875" s="296" t="s">
        <v>1582</v>
      </c>
      <c r="C875" s="296" t="s">
        <v>1958</v>
      </c>
      <c r="D875" s="297" t="s">
        <v>2</v>
      </c>
      <c r="E875" s="788"/>
      <c r="F875" s="738" t="e">
        <f>#REF!</f>
        <v>#REF!</v>
      </c>
      <c r="G875" s="738" t="e">
        <f>#REF!</f>
        <v>#REF!</v>
      </c>
      <c r="H875" s="738" t="e">
        <f>#REF!</f>
        <v>#REF!</v>
      </c>
      <c r="I875" s="739" t="e">
        <f t="shared" ref="I875:I881" si="562">E875*F875</f>
        <v>#REF!</v>
      </c>
      <c r="J875" s="739" t="e">
        <f t="shared" ref="J875:J881" si="563">E875*G875</f>
        <v>#REF!</v>
      </c>
      <c r="K875" s="740" t="e">
        <f t="shared" ref="K875:K881" si="564">E875*H875</f>
        <v>#REF!</v>
      </c>
      <c r="L875" s="735" t="e">
        <f t="shared" si="425"/>
        <v>#REF!</v>
      </c>
      <c r="N875" s="741" t="e">
        <f t="shared" si="426"/>
        <v>#REF!</v>
      </c>
      <c r="O875" s="741" t="e">
        <f t="shared" si="428"/>
        <v>#REF!</v>
      </c>
    </row>
    <row r="876" spans="1:15" s="298" customFormat="1" ht="17.100000000000001" customHeight="1">
      <c r="A876" s="736" t="e">
        <f t="shared" si="556"/>
        <v>#REF!</v>
      </c>
      <c r="B876" s="296" t="s">
        <v>817</v>
      </c>
      <c r="C876" s="296" t="s">
        <v>850</v>
      </c>
      <c r="D876" s="297" t="s">
        <v>9</v>
      </c>
      <c r="E876" s="788"/>
      <c r="F876" s="738" t="e">
        <f>#REF!</f>
        <v>#REF!</v>
      </c>
      <c r="G876" s="738" t="e">
        <f>#REF!</f>
        <v>#REF!</v>
      </c>
      <c r="H876" s="738" t="e">
        <f>#REF!</f>
        <v>#REF!</v>
      </c>
      <c r="I876" s="739" t="e">
        <f t="shared" si="562"/>
        <v>#REF!</v>
      </c>
      <c r="J876" s="739" t="e">
        <f t="shared" si="563"/>
        <v>#REF!</v>
      </c>
      <c r="K876" s="740" t="e">
        <f t="shared" si="564"/>
        <v>#REF!</v>
      </c>
      <c r="L876" s="735" t="e">
        <f t="shared" si="425"/>
        <v>#REF!</v>
      </c>
      <c r="N876" s="741" t="e">
        <f t="shared" si="426"/>
        <v>#REF!</v>
      </c>
      <c r="O876" s="741" t="e">
        <f t="shared" si="428"/>
        <v>#REF!</v>
      </c>
    </row>
    <row r="877" spans="1:15" s="298" customFormat="1" ht="17.100000000000001" hidden="1" customHeight="1">
      <c r="A877" s="736" t="e">
        <f t="shared" si="556"/>
        <v>#REF!</v>
      </c>
      <c r="B877" s="296" t="s">
        <v>1583</v>
      </c>
      <c r="C877" s="296" t="s">
        <v>850</v>
      </c>
      <c r="D877" s="297" t="s">
        <v>9</v>
      </c>
      <c r="E877" s="788"/>
      <c r="F877" s="738" t="e">
        <f>#REF!</f>
        <v>#REF!</v>
      </c>
      <c r="G877" s="738" t="e">
        <f>#REF!</f>
        <v>#REF!</v>
      </c>
      <c r="H877" s="738" t="e">
        <f>#REF!</f>
        <v>#REF!</v>
      </c>
      <c r="I877" s="739" t="e">
        <f t="shared" si="562"/>
        <v>#REF!</v>
      </c>
      <c r="J877" s="739" t="e">
        <f t="shared" si="563"/>
        <v>#REF!</v>
      </c>
      <c r="K877" s="740" t="e">
        <f t="shared" si="564"/>
        <v>#REF!</v>
      </c>
      <c r="L877" s="735" t="e">
        <f t="shared" si="425"/>
        <v>#REF!</v>
      </c>
      <c r="N877" s="741" t="e">
        <f t="shared" si="426"/>
        <v>#REF!</v>
      </c>
      <c r="O877" s="741" t="e">
        <f t="shared" si="428"/>
        <v>#REF!</v>
      </c>
    </row>
    <row r="878" spans="1:15" s="298" customFormat="1" ht="17.100000000000001" customHeight="1">
      <c r="A878" s="736" t="e">
        <f t="shared" si="556"/>
        <v>#REF!</v>
      </c>
      <c r="B878" s="296" t="s">
        <v>1395</v>
      </c>
      <c r="C878" s="296" t="s">
        <v>851</v>
      </c>
      <c r="D878" s="297" t="s">
        <v>2</v>
      </c>
      <c r="E878" s="788"/>
      <c r="F878" s="738" t="e">
        <f>#REF!</f>
        <v>#REF!</v>
      </c>
      <c r="G878" s="738" t="e">
        <f>#REF!</f>
        <v>#REF!</v>
      </c>
      <c r="H878" s="738" t="e">
        <f>#REF!</f>
        <v>#REF!</v>
      </c>
      <c r="I878" s="739" t="e">
        <f t="shared" si="562"/>
        <v>#REF!</v>
      </c>
      <c r="J878" s="739" t="e">
        <f t="shared" si="563"/>
        <v>#REF!</v>
      </c>
      <c r="K878" s="740" t="e">
        <f t="shared" si="564"/>
        <v>#REF!</v>
      </c>
      <c r="L878" s="735" t="e">
        <f t="shared" si="425"/>
        <v>#REF!</v>
      </c>
      <c r="N878" s="741" t="e">
        <f t="shared" si="426"/>
        <v>#REF!</v>
      </c>
      <c r="O878" s="741" t="e">
        <f t="shared" si="428"/>
        <v>#REF!</v>
      </c>
    </row>
    <row r="879" spans="1:15" s="298" customFormat="1" ht="17.100000000000001" customHeight="1">
      <c r="A879" s="736" t="e">
        <f t="shared" si="556"/>
        <v>#REF!</v>
      </c>
      <c r="B879" s="296" t="s">
        <v>84</v>
      </c>
      <c r="C879" s="296" t="s">
        <v>816</v>
      </c>
      <c r="D879" s="297" t="s">
        <v>9</v>
      </c>
      <c r="E879" s="788"/>
      <c r="F879" s="738" t="e">
        <f>#REF!</f>
        <v>#REF!</v>
      </c>
      <c r="G879" s="738" t="e">
        <f>#REF!</f>
        <v>#REF!</v>
      </c>
      <c r="H879" s="738" t="e">
        <f>#REF!</f>
        <v>#REF!</v>
      </c>
      <c r="I879" s="739" t="e">
        <f t="shared" si="562"/>
        <v>#REF!</v>
      </c>
      <c r="J879" s="739" t="e">
        <f t="shared" si="563"/>
        <v>#REF!</v>
      </c>
      <c r="K879" s="740" t="e">
        <f t="shared" si="564"/>
        <v>#REF!</v>
      </c>
      <c r="L879" s="735" t="e">
        <f t="shared" si="425"/>
        <v>#REF!</v>
      </c>
      <c r="N879" s="741" t="e">
        <f t="shared" si="426"/>
        <v>#REF!</v>
      </c>
      <c r="O879" s="741" t="e">
        <f t="shared" si="428"/>
        <v>#REF!</v>
      </c>
    </row>
    <row r="880" spans="1:15" s="298" customFormat="1" ht="17.100000000000001" customHeight="1">
      <c r="A880" s="736" t="e">
        <f t="shared" si="556"/>
        <v>#REF!</v>
      </c>
      <c r="B880" s="296" t="s">
        <v>573</v>
      </c>
      <c r="C880" s="296" t="s">
        <v>852</v>
      </c>
      <c r="D880" s="297" t="s">
        <v>2</v>
      </c>
      <c r="E880" s="788"/>
      <c r="F880" s="738" t="e">
        <f>#REF!</f>
        <v>#REF!</v>
      </c>
      <c r="G880" s="738" t="e">
        <f>#REF!</f>
        <v>#REF!</v>
      </c>
      <c r="H880" s="738"/>
      <c r="I880" s="739" t="e">
        <f t="shared" si="562"/>
        <v>#REF!</v>
      </c>
      <c r="J880" s="739" t="e">
        <f t="shared" si="563"/>
        <v>#REF!</v>
      </c>
      <c r="K880" s="740">
        <f t="shared" si="564"/>
        <v>0</v>
      </c>
      <c r="L880" s="735" t="e">
        <f t="shared" ref="L880:L961" si="565">IF(OR(SUM(I880:K880)&lt;&gt;0,B880="*"),$L$5,0)</f>
        <v>#REF!</v>
      </c>
      <c r="N880" s="741" t="e">
        <f t="shared" si="426"/>
        <v>#REF!</v>
      </c>
      <c r="O880" s="741" t="e">
        <f t="shared" si="428"/>
        <v>#REF!</v>
      </c>
    </row>
    <row r="881" spans="1:15" s="298" customFormat="1" ht="17.100000000000001" customHeight="1">
      <c r="A881" s="736" t="e">
        <f t="shared" si="556"/>
        <v>#REF!</v>
      </c>
      <c r="B881" s="296" t="s">
        <v>1814</v>
      </c>
      <c r="C881" s="296" t="s">
        <v>853</v>
      </c>
      <c r="D881" s="297" t="s">
        <v>551</v>
      </c>
      <c r="E881" s="788"/>
      <c r="F881" s="738" t="e">
        <f>#REF!</f>
        <v>#REF!</v>
      </c>
      <c r="G881" s="738" t="e">
        <f>#REF!</f>
        <v>#REF!</v>
      </c>
      <c r="H881" s="738"/>
      <c r="I881" s="739" t="e">
        <f t="shared" si="562"/>
        <v>#REF!</v>
      </c>
      <c r="J881" s="739" t="e">
        <f t="shared" si="563"/>
        <v>#REF!</v>
      </c>
      <c r="K881" s="740">
        <f t="shared" si="564"/>
        <v>0</v>
      </c>
      <c r="L881" s="735" t="e">
        <f t="shared" si="565"/>
        <v>#REF!</v>
      </c>
      <c r="N881" s="741" t="e">
        <f t="shared" ref="N881:N962" si="566">SUM(F881:H881)*1.278</f>
        <v>#REF!</v>
      </c>
      <c r="O881" s="741" t="e">
        <f t="shared" ref="O881:O962" si="567">N881*E881</f>
        <v>#REF!</v>
      </c>
    </row>
    <row r="882" spans="1:15" s="298" customFormat="1" ht="17.100000000000001" customHeight="1">
      <c r="A882" s="838" t="e">
        <f t="shared" si="556"/>
        <v>#REF!</v>
      </c>
      <c r="B882" s="296" t="s">
        <v>1746</v>
      </c>
      <c r="C882" s="737" t="s">
        <v>1965</v>
      </c>
      <c r="D882" s="297" t="s">
        <v>0</v>
      </c>
      <c r="E882" s="788"/>
      <c r="F882" s="738"/>
      <c r="G882" s="738"/>
      <c r="H882" s="738"/>
      <c r="I882" s="739"/>
      <c r="J882" s="739"/>
      <c r="K882" s="740"/>
      <c r="L882" s="735">
        <f t="shared" si="565"/>
        <v>1</v>
      </c>
      <c r="N882" s="741">
        <f t="shared" si="566"/>
        <v>0</v>
      </c>
      <c r="O882" s="741">
        <f t="shared" si="567"/>
        <v>0</v>
      </c>
    </row>
    <row r="883" spans="1:15" s="298" customFormat="1" ht="17.100000000000001" customHeight="1">
      <c r="A883" s="736" t="e">
        <f t="shared" si="556"/>
        <v>#REF!</v>
      </c>
      <c r="B883" s="296" t="s">
        <v>692</v>
      </c>
      <c r="C883" s="296" t="s">
        <v>1959</v>
      </c>
      <c r="D883" s="297" t="s">
        <v>2</v>
      </c>
      <c r="E883" s="788"/>
      <c r="F883" s="738"/>
      <c r="G883" s="738" t="e">
        <f>#REF!</f>
        <v>#REF!</v>
      </c>
      <c r="H883" s="738" t="e">
        <f>#REF!</f>
        <v>#REF!</v>
      </c>
      <c r="I883" s="739">
        <f t="shared" ref="I883" si="568">E883*F883</f>
        <v>0</v>
      </c>
      <c r="J883" s="739" t="e">
        <f t="shared" ref="J883" si="569">E883*G883</f>
        <v>#REF!</v>
      </c>
      <c r="K883" s="740" t="e">
        <f t="shared" ref="K883" si="570">E883*H883</f>
        <v>#REF!</v>
      </c>
      <c r="L883" s="735" t="e">
        <f t="shared" ref="L883" si="571">IF(OR(SUM(I883:K883)&lt;&gt;0,B883="*"),$L$5,0)</f>
        <v>#REF!</v>
      </c>
      <c r="N883" s="741" t="e">
        <f t="shared" ref="N883" si="572">SUM(F883:H883)*1.278</f>
        <v>#REF!</v>
      </c>
      <c r="O883" s="741" t="e">
        <f t="shared" si="567"/>
        <v>#REF!</v>
      </c>
    </row>
    <row r="884" spans="1:15" s="298" customFormat="1" ht="17.100000000000001" customHeight="1">
      <c r="A884" s="736" t="e">
        <f t="shared" si="556"/>
        <v>#REF!</v>
      </c>
      <c r="B884" s="296" t="s">
        <v>1395</v>
      </c>
      <c r="C884" s="296" t="s">
        <v>854</v>
      </c>
      <c r="D884" s="297" t="s">
        <v>2</v>
      </c>
      <c r="E884" s="788"/>
      <c r="F884" s="738" t="e">
        <f>#REF!</f>
        <v>#REF!</v>
      </c>
      <c r="G884" s="738" t="e">
        <f>#REF!</f>
        <v>#REF!</v>
      </c>
      <c r="H884" s="738" t="e">
        <f>#REF!</f>
        <v>#REF!</v>
      </c>
      <c r="I884" s="739" t="e">
        <f t="shared" ref="I884:I891" si="573">E884*F884</f>
        <v>#REF!</v>
      </c>
      <c r="J884" s="739" t="e">
        <f t="shared" ref="J884:J891" si="574">E884*G884</f>
        <v>#REF!</v>
      </c>
      <c r="K884" s="740" t="e">
        <f t="shared" ref="K884:K891" si="575">E884*H884</f>
        <v>#REF!</v>
      </c>
      <c r="L884" s="735" t="e">
        <f t="shared" si="565"/>
        <v>#REF!</v>
      </c>
      <c r="N884" s="741" t="e">
        <f t="shared" si="566"/>
        <v>#REF!</v>
      </c>
      <c r="O884" s="741" t="e">
        <f t="shared" si="567"/>
        <v>#REF!</v>
      </c>
    </row>
    <row r="885" spans="1:15" s="298" customFormat="1" ht="17.100000000000001" customHeight="1">
      <c r="A885" s="736" t="e">
        <f t="shared" si="556"/>
        <v>#REF!</v>
      </c>
      <c r="B885" s="296" t="s">
        <v>84</v>
      </c>
      <c r="C885" s="296" t="s">
        <v>816</v>
      </c>
      <c r="D885" s="297" t="s">
        <v>9</v>
      </c>
      <c r="E885" s="788"/>
      <c r="F885" s="738" t="e">
        <f>#REF!</f>
        <v>#REF!</v>
      </c>
      <c r="G885" s="738" t="e">
        <f>#REF!</f>
        <v>#REF!</v>
      </c>
      <c r="H885" s="738" t="e">
        <f>#REF!</f>
        <v>#REF!</v>
      </c>
      <c r="I885" s="739" t="e">
        <f t="shared" si="573"/>
        <v>#REF!</v>
      </c>
      <c r="J885" s="739" t="e">
        <f t="shared" si="574"/>
        <v>#REF!</v>
      </c>
      <c r="K885" s="740" t="e">
        <f t="shared" si="575"/>
        <v>#REF!</v>
      </c>
      <c r="L885" s="735" t="e">
        <f t="shared" si="565"/>
        <v>#REF!</v>
      </c>
      <c r="N885" s="741" t="e">
        <f t="shared" si="566"/>
        <v>#REF!</v>
      </c>
      <c r="O885" s="741" t="e">
        <f t="shared" si="567"/>
        <v>#REF!</v>
      </c>
    </row>
    <row r="886" spans="1:15" s="298" customFormat="1" ht="17.100000000000001" customHeight="1">
      <c r="A886" s="736" t="e">
        <f t="shared" si="556"/>
        <v>#REF!</v>
      </c>
      <c r="B886" s="296" t="s">
        <v>690</v>
      </c>
      <c r="C886" s="296" t="s">
        <v>855</v>
      </c>
      <c r="D886" s="297" t="s">
        <v>2</v>
      </c>
      <c r="E886" s="788"/>
      <c r="F886" s="738" t="e">
        <f>#REF!</f>
        <v>#REF!</v>
      </c>
      <c r="G886" s="738" t="e">
        <f>#REF!</f>
        <v>#REF!</v>
      </c>
      <c r="H886" s="738" t="e">
        <f>#REF!</f>
        <v>#REF!</v>
      </c>
      <c r="I886" s="739" t="e">
        <f t="shared" si="573"/>
        <v>#REF!</v>
      </c>
      <c r="J886" s="739" t="e">
        <f t="shared" si="574"/>
        <v>#REF!</v>
      </c>
      <c r="K886" s="740" t="e">
        <f t="shared" si="575"/>
        <v>#REF!</v>
      </c>
      <c r="L886" s="735" t="e">
        <f t="shared" si="565"/>
        <v>#REF!</v>
      </c>
      <c r="N886" s="741" t="e">
        <f t="shared" si="566"/>
        <v>#REF!</v>
      </c>
      <c r="O886" s="741" t="e">
        <f t="shared" si="567"/>
        <v>#REF!</v>
      </c>
    </row>
    <row r="887" spans="1:15" s="298" customFormat="1" ht="17.100000000000001" customHeight="1">
      <c r="A887" s="736" t="e">
        <f t="shared" si="556"/>
        <v>#REF!</v>
      </c>
      <c r="B887" s="296" t="s">
        <v>550</v>
      </c>
      <c r="C887" s="296" t="s">
        <v>812</v>
      </c>
      <c r="D887" s="297" t="s">
        <v>2</v>
      </c>
      <c r="E887" s="788"/>
      <c r="F887" s="738"/>
      <c r="G887" s="738" t="e">
        <f>#REF!</f>
        <v>#REF!</v>
      </c>
      <c r="H887" s="738" t="e">
        <f>#REF!</f>
        <v>#REF!</v>
      </c>
      <c r="I887" s="739">
        <f t="shared" si="573"/>
        <v>0</v>
      </c>
      <c r="J887" s="739" t="e">
        <f t="shared" si="574"/>
        <v>#REF!</v>
      </c>
      <c r="K887" s="740" t="e">
        <f t="shared" si="575"/>
        <v>#REF!</v>
      </c>
      <c r="L887" s="735" t="e">
        <f t="shared" ref="L887" si="576">IF(OR(SUM(I887:K887)&lt;&gt;0,B887="*"),$L$5,0)</f>
        <v>#REF!</v>
      </c>
      <c r="N887" s="741" t="e">
        <f t="shared" ref="N887" si="577">SUM(F887:H887)*1.278</f>
        <v>#REF!</v>
      </c>
      <c r="O887" s="741" t="e">
        <f t="shared" ref="O887" si="578">N887*E887</f>
        <v>#REF!</v>
      </c>
    </row>
    <row r="888" spans="1:15" s="298" customFormat="1" ht="17.100000000000001" customHeight="1">
      <c r="A888" s="736" t="e">
        <f t="shared" si="556"/>
        <v>#REF!</v>
      </c>
      <c r="B888" s="296" t="s">
        <v>1541</v>
      </c>
      <c r="C888" s="296" t="s">
        <v>2003</v>
      </c>
      <c r="D888" s="297" t="s">
        <v>2</v>
      </c>
      <c r="E888" s="788"/>
      <c r="F888" s="738" t="e">
        <f>#REF!</f>
        <v>#REF!</v>
      </c>
      <c r="G888" s="738" t="e">
        <f>#REF!</f>
        <v>#REF!</v>
      </c>
      <c r="H888" s="738" t="e">
        <f>#REF!</f>
        <v>#REF!</v>
      </c>
      <c r="I888" s="739" t="e">
        <f t="shared" si="573"/>
        <v>#REF!</v>
      </c>
      <c r="J888" s="739" t="e">
        <f t="shared" si="574"/>
        <v>#REF!</v>
      </c>
      <c r="K888" s="740" t="e">
        <f t="shared" si="575"/>
        <v>#REF!</v>
      </c>
      <c r="L888" s="735" t="e">
        <f t="shared" si="565"/>
        <v>#REF!</v>
      </c>
      <c r="N888" s="741" t="e">
        <f t="shared" si="566"/>
        <v>#REF!</v>
      </c>
      <c r="O888" s="741" t="e">
        <f t="shared" si="567"/>
        <v>#REF!</v>
      </c>
    </row>
    <row r="889" spans="1:15" s="298" customFormat="1" ht="17.100000000000001" customHeight="1">
      <c r="A889" s="736" t="e">
        <f t="shared" si="556"/>
        <v>#REF!</v>
      </c>
      <c r="B889" s="296" t="s">
        <v>547</v>
      </c>
      <c r="C889" s="296" t="s">
        <v>548</v>
      </c>
      <c r="D889" s="297" t="s">
        <v>9</v>
      </c>
      <c r="E889" s="788"/>
      <c r="F889" s="738" t="e">
        <f>#REF!</f>
        <v>#REF!</v>
      </c>
      <c r="G889" s="738" t="e">
        <f>#REF!</f>
        <v>#REF!</v>
      </c>
      <c r="H889" s="738" t="e">
        <f>#REF!</f>
        <v>#REF!</v>
      </c>
      <c r="I889" s="739" t="e">
        <f t="shared" si="573"/>
        <v>#REF!</v>
      </c>
      <c r="J889" s="739" t="e">
        <f t="shared" si="574"/>
        <v>#REF!</v>
      </c>
      <c r="K889" s="740" t="e">
        <f t="shared" si="575"/>
        <v>#REF!</v>
      </c>
      <c r="L889" s="735" t="e">
        <f t="shared" si="565"/>
        <v>#REF!</v>
      </c>
      <c r="N889" s="741" t="e">
        <f t="shared" si="566"/>
        <v>#REF!</v>
      </c>
      <c r="O889" s="741" t="e">
        <f t="shared" si="567"/>
        <v>#REF!</v>
      </c>
    </row>
    <row r="890" spans="1:15" s="298" customFormat="1" ht="17.100000000000001" customHeight="1">
      <c r="A890" s="736" t="e">
        <f t="shared" si="556"/>
        <v>#REF!</v>
      </c>
      <c r="B890" s="296" t="s">
        <v>857</v>
      </c>
      <c r="C890" s="296" t="s">
        <v>858</v>
      </c>
      <c r="D890" s="297" t="s">
        <v>2</v>
      </c>
      <c r="E890" s="788"/>
      <c r="F890" s="738" t="e">
        <f>#REF!</f>
        <v>#REF!</v>
      </c>
      <c r="G890" s="738" t="e">
        <f>#REF!</f>
        <v>#REF!</v>
      </c>
      <c r="H890" s="738"/>
      <c r="I890" s="739" t="e">
        <f t="shared" si="573"/>
        <v>#REF!</v>
      </c>
      <c r="J890" s="739" t="e">
        <f t="shared" si="574"/>
        <v>#REF!</v>
      </c>
      <c r="K890" s="740">
        <f t="shared" si="575"/>
        <v>0</v>
      </c>
      <c r="L890" s="735" t="e">
        <f t="shared" si="565"/>
        <v>#REF!</v>
      </c>
      <c r="N890" s="741" t="e">
        <f t="shared" si="566"/>
        <v>#REF!</v>
      </c>
      <c r="O890" s="741" t="e">
        <f t="shared" si="567"/>
        <v>#REF!</v>
      </c>
    </row>
    <row r="891" spans="1:15" s="298" customFormat="1" ht="17.100000000000001" customHeight="1">
      <c r="A891" s="736" t="e">
        <f t="shared" si="556"/>
        <v>#REF!</v>
      </c>
      <c r="B891" s="296" t="s">
        <v>859</v>
      </c>
      <c r="C891" s="296" t="s">
        <v>860</v>
      </c>
      <c r="D891" s="297" t="s">
        <v>310</v>
      </c>
      <c r="E891" s="788"/>
      <c r="F891" s="738" t="e">
        <f>#REF!</f>
        <v>#REF!</v>
      </c>
      <c r="G891" s="738"/>
      <c r="H891" s="738"/>
      <c r="I891" s="739" t="e">
        <f t="shared" si="573"/>
        <v>#REF!</v>
      </c>
      <c r="J891" s="739">
        <f t="shared" si="574"/>
        <v>0</v>
      </c>
      <c r="K891" s="740">
        <f t="shared" si="575"/>
        <v>0</v>
      </c>
      <c r="L891" s="735" t="e">
        <f t="shared" si="565"/>
        <v>#REF!</v>
      </c>
      <c r="N891" s="741" t="e">
        <f t="shared" si="566"/>
        <v>#REF!</v>
      </c>
      <c r="O891" s="741" t="e">
        <f t="shared" si="567"/>
        <v>#REF!</v>
      </c>
    </row>
    <row r="892" spans="1:15" s="298" customFormat="1" ht="17.100000000000001" customHeight="1">
      <c r="A892" s="838" t="e">
        <f t="shared" si="556"/>
        <v>#REF!</v>
      </c>
      <c r="B892" s="296" t="s">
        <v>1746</v>
      </c>
      <c r="C892" s="737" t="s">
        <v>1966</v>
      </c>
      <c r="D892" s="297" t="s">
        <v>0</v>
      </c>
      <c r="E892" s="788"/>
      <c r="F892" s="738"/>
      <c r="G892" s="738"/>
      <c r="H892" s="738"/>
      <c r="I892" s="739"/>
      <c r="J892" s="739"/>
      <c r="K892" s="740"/>
      <c r="L892" s="735">
        <f t="shared" si="565"/>
        <v>1</v>
      </c>
      <c r="N892" s="741">
        <f t="shared" si="566"/>
        <v>0</v>
      </c>
      <c r="O892" s="741">
        <f t="shared" si="567"/>
        <v>0</v>
      </c>
    </row>
    <row r="893" spans="1:15" s="298" customFormat="1" ht="17.100000000000001" customHeight="1">
      <c r="A893" s="736" t="e">
        <f t="shared" si="556"/>
        <v>#REF!</v>
      </c>
      <c r="B893" s="296" t="s">
        <v>861</v>
      </c>
      <c r="C893" s="296" t="s">
        <v>1961</v>
      </c>
      <c r="D893" s="297" t="s">
        <v>2</v>
      </c>
      <c r="E893" s="788"/>
      <c r="F893" s="738"/>
      <c r="G893" s="738" t="e">
        <f>#REF!</f>
        <v>#REF!</v>
      </c>
      <c r="H893" s="738" t="e">
        <f>#REF!</f>
        <v>#REF!</v>
      </c>
      <c r="I893" s="739">
        <f t="shared" ref="I893:I918" si="579">E893*F893</f>
        <v>0</v>
      </c>
      <c r="J893" s="739" t="e">
        <f t="shared" ref="J893:J918" si="580">E893*G893</f>
        <v>#REF!</v>
      </c>
      <c r="K893" s="740" t="e">
        <f t="shared" ref="K893:K926" si="581">E893*H893</f>
        <v>#REF!</v>
      </c>
      <c r="L893" s="735" t="e">
        <f t="shared" si="565"/>
        <v>#REF!</v>
      </c>
      <c r="N893" s="741" t="e">
        <f t="shared" si="566"/>
        <v>#REF!</v>
      </c>
      <c r="O893" s="741" t="e">
        <f t="shared" si="567"/>
        <v>#REF!</v>
      </c>
    </row>
    <row r="894" spans="1:15" s="298" customFormat="1" ht="17.100000000000001" customHeight="1">
      <c r="A894" s="736" t="e">
        <f t="shared" si="556"/>
        <v>#REF!</v>
      </c>
      <c r="B894" s="296" t="s">
        <v>1440</v>
      </c>
      <c r="C894" s="296" t="s">
        <v>1441</v>
      </c>
      <c r="D894" s="297" t="s">
        <v>2</v>
      </c>
      <c r="E894" s="788"/>
      <c r="F894" s="738"/>
      <c r="G894" s="738" t="e">
        <f>#REF!</f>
        <v>#REF!</v>
      </c>
      <c r="H894" s="738" t="e">
        <f>#REF!</f>
        <v>#REF!</v>
      </c>
      <c r="I894" s="739">
        <f t="shared" si="579"/>
        <v>0</v>
      </c>
      <c r="J894" s="739" t="e">
        <f t="shared" si="580"/>
        <v>#REF!</v>
      </c>
      <c r="K894" s="740" t="e">
        <f t="shared" si="581"/>
        <v>#REF!</v>
      </c>
      <c r="L894" s="735" t="e">
        <f t="shared" ref="L894" si="582">IF(OR(SUM(I894:K894)&lt;&gt;0,B894="*"),$L$5,0)</f>
        <v>#REF!</v>
      </c>
      <c r="N894" s="741" t="e">
        <f t="shared" ref="N894" si="583">SUM(F894:H894)*1.278</f>
        <v>#REF!</v>
      </c>
      <c r="O894" s="741" t="e">
        <f t="shared" si="567"/>
        <v>#REF!</v>
      </c>
    </row>
    <row r="895" spans="1:15" s="298" customFormat="1" ht="17.100000000000001" hidden="1" customHeight="1">
      <c r="A895" s="736" t="e">
        <f t="shared" si="556"/>
        <v>#REF!</v>
      </c>
      <c r="B895" s="296" t="s">
        <v>572</v>
      </c>
      <c r="C895" s="296" t="s">
        <v>862</v>
      </c>
      <c r="D895" s="297" t="s">
        <v>2</v>
      </c>
      <c r="E895" s="788"/>
      <c r="F895" s="738"/>
      <c r="G895" s="738" t="e">
        <f>#REF!</f>
        <v>#REF!</v>
      </c>
      <c r="H895" s="738"/>
      <c r="I895" s="739">
        <f t="shared" si="579"/>
        <v>0</v>
      </c>
      <c r="J895" s="739" t="e">
        <f t="shared" si="580"/>
        <v>#REF!</v>
      </c>
      <c r="K895" s="740">
        <f t="shared" si="581"/>
        <v>0</v>
      </c>
      <c r="L895" s="735" t="e">
        <f t="shared" si="565"/>
        <v>#REF!</v>
      </c>
      <c r="N895" s="741" t="e">
        <f t="shared" si="566"/>
        <v>#REF!</v>
      </c>
      <c r="O895" s="741" t="e">
        <f t="shared" si="567"/>
        <v>#REF!</v>
      </c>
    </row>
    <row r="896" spans="1:15" s="298" customFormat="1" ht="17.100000000000001" customHeight="1">
      <c r="A896" s="736" t="e">
        <f t="shared" si="556"/>
        <v>#REF!</v>
      </c>
      <c r="B896" s="296" t="s">
        <v>550</v>
      </c>
      <c r="C896" s="296" t="s">
        <v>812</v>
      </c>
      <c r="D896" s="297" t="s">
        <v>2</v>
      </c>
      <c r="E896" s="788"/>
      <c r="F896" s="738"/>
      <c r="G896" s="738" t="e">
        <f>#REF!</f>
        <v>#REF!</v>
      </c>
      <c r="H896" s="738" t="e">
        <f>#REF!</f>
        <v>#REF!</v>
      </c>
      <c r="I896" s="739">
        <f t="shared" si="579"/>
        <v>0</v>
      </c>
      <c r="J896" s="739" t="e">
        <f t="shared" si="580"/>
        <v>#REF!</v>
      </c>
      <c r="K896" s="740" t="e">
        <f t="shared" si="581"/>
        <v>#REF!</v>
      </c>
      <c r="L896" s="735" t="e">
        <f t="shared" si="565"/>
        <v>#REF!</v>
      </c>
      <c r="N896" s="741" t="e">
        <f t="shared" si="566"/>
        <v>#REF!</v>
      </c>
      <c r="O896" s="741" t="e">
        <f t="shared" si="567"/>
        <v>#REF!</v>
      </c>
    </row>
    <row r="897" spans="1:15" s="298" customFormat="1" ht="17.100000000000001" hidden="1" customHeight="1">
      <c r="A897" s="736" t="e">
        <f t="shared" si="556"/>
        <v>#REF!</v>
      </c>
      <c r="B897" s="296" t="s">
        <v>611</v>
      </c>
      <c r="C897" s="296" t="s">
        <v>863</v>
      </c>
      <c r="D897" s="297" t="s">
        <v>2</v>
      </c>
      <c r="E897" s="788"/>
      <c r="F897" s="738"/>
      <c r="G897" s="738" t="e">
        <f>#REF!</f>
        <v>#REF!</v>
      </c>
      <c r="H897" s="738" t="e">
        <f>#REF!</f>
        <v>#REF!</v>
      </c>
      <c r="I897" s="739">
        <f t="shared" si="579"/>
        <v>0</v>
      </c>
      <c r="J897" s="739" t="e">
        <f t="shared" si="580"/>
        <v>#REF!</v>
      </c>
      <c r="K897" s="740" t="e">
        <f t="shared" si="581"/>
        <v>#REF!</v>
      </c>
      <c r="L897" s="735" t="e">
        <f t="shared" si="565"/>
        <v>#REF!</v>
      </c>
      <c r="N897" s="741" t="e">
        <f t="shared" si="566"/>
        <v>#REF!</v>
      </c>
      <c r="O897" s="741" t="e">
        <f t="shared" si="567"/>
        <v>#REF!</v>
      </c>
    </row>
    <row r="898" spans="1:15" s="298" customFormat="1" ht="17.100000000000001" customHeight="1">
      <c r="A898" s="736" t="e">
        <f t="shared" si="556"/>
        <v>#REF!</v>
      </c>
      <c r="B898" s="296" t="s">
        <v>616</v>
      </c>
      <c r="C898" s="296" t="s">
        <v>864</v>
      </c>
      <c r="D898" s="297" t="s">
        <v>2</v>
      </c>
      <c r="E898" s="788"/>
      <c r="F898" s="738"/>
      <c r="G898" s="738" t="e">
        <f>#REF!</f>
        <v>#REF!</v>
      </c>
      <c r="H898" s="738" t="e">
        <f>#REF!</f>
        <v>#REF!</v>
      </c>
      <c r="I898" s="739">
        <f t="shared" si="579"/>
        <v>0</v>
      </c>
      <c r="J898" s="739" t="e">
        <f t="shared" si="580"/>
        <v>#REF!</v>
      </c>
      <c r="K898" s="740" t="e">
        <f t="shared" si="581"/>
        <v>#REF!</v>
      </c>
      <c r="L898" s="735" t="e">
        <f t="shared" si="565"/>
        <v>#REF!</v>
      </c>
      <c r="N898" s="741" t="e">
        <f t="shared" si="566"/>
        <v>#REF!</v>
      </c>
      <c r="O898" s="741" t="e">
        <f t="shared" si="567"/>
        <v>#REF!</v>
      </c>
    </row>
    <row r="899" spans="1:15" s="298" customFormat="1" ht="17.100000000000001" hidden="1" customHeight="1">
      <c r="A899" s="736" t="e">
        <f t="shared" si="556"/>
        <v>#REF!</v>
      </c>
      <c r="B899" s="296" t="s">
        <v>600</v>
      </c>
      <c r="C899" s="296" t="s">
        <v>865</v>
      </c>
      <c r="D899" s="297" t="s">
        <v>2</v>
      </c>
      <c r="E899" s="788"/>
      <c r="F899" s="738" t="e">
        <f>#REF!</f>
        <v>#REF!</v>
      </c>
      <c r="G899" s="738"/>
      <c r="H899" s="738"/>
      <c r="I899" s="739" t="e">
        <f t="shared" si="579"/>
        <v>#REF!</v>
      </c>
      <c r="J899" s="739">
        <f t="shared" si="580"/>
        <v>0</v>
      </c>
      <c r="K899" s="740">
        <f t="shared" si="581"/>
        <v>0</v>
      </c>
      <c r="L899" s="735" t="e">
        <f t="shared" si="565"/>
        <v>#REF!</v>
      </c>
      <c r="N899" s="741" t="e">
        <f t="shared" si="566"/>
        <v>#REF!</v>
      </c>
      <c r="O899" s="741" t="e">
        <f t="shared" si="567"/>
        <v>#REF!</v>
      </c>
    </row>
    <row r="900" spans="1:15" s="298" customFormat="1" ht="17.100000000000001" customHeight="1">
      <c r="A900" s="736" t="e">
        <f t="shared" si="556"/>
        <v>#REF!</v>
      </c>
      <c r="B900" s="296" t="s">
        <v>617</v>
      </c>
      <c r="C900" s="296" t="s">
        <v>1968</v>
      </c>
      <c r="D900" s="297" t="s">
        <v>2</v>
      </c>
      <c r="E900" s="788"/>
      <c r="F900" s="738"/>
      <c r="G900" s="738" t="e">
        <f>#REF!</f>
        <v>#REF!</v>
      </c>
      <c r="H900" s="738" t="e">
        <f>#REF!</f>
        <v>#REF!</v>
      </c>
      <c r="I900" s="739">
        <f t="shared" ref="I900:I901" si="584">E900*F900</f>
        <v>0</v>
      </c>
      <c r="J900" s="739" t="e">
        <f t="shared" ref="J900:J901" si="585">E900*G900</f>
        <v>#REF!</v>
      </c>
      <c r="K900" s="740" t="e">
        <f t="shared" ref="K900:K901" si="586">E900*H900</f>
        <v>#REF!</v>
      </c>
      <c r="L900" s="735" t="e">
        <f t="shared" ref="L900:L901" si="587">IF(OR(SUM(I900:K900)&lt;&gt;0,B900="*"),$L$5,0)</f>
        <v>#REF!</v>
      </c>
      <c r="N900" s="741" t="e">
        <f t="shared" ref="N900:N901" si="588">SUM(F900:H900)*1.278</f>
        <v>#REF!</v>
      </c>
      <c r="O900" s="741" t="e">
        <f t="shared" ref="O900:O901" si="589">N900*E900</f>
        <v>#REF!</v>
      </c>
    </row>
    <row r="901" spans="1:15" s="298" customFormat="1" ht="17.100000000000001" customHeight="1">
      <c r="A901" s="736" t="e">
        <f t="shared" si="556"/>
        <v>#REF!</v>
      </c>
      <c r="B901" s="296" t="s">
        <v>1992</v>
      </c>
      <c r="C901" s="296" t="s">
        <v>1995</v>
      </c>
      <c r="D901" s="297" t="s">
        <v>2</v>
      </c>
      <c r="E901" s="788"/>
      <c r="F901" s="738"/>
      <c r="G901" s="738"/>
      <c r="H901" s="738" t="e">
        <f>#REF!</f>
        <v>#REF!</v>
      </c>
      <c r="I901" s="739">
        <f t="shared" si="584"/>
        <v>0</v>
      </c>
      <c r="J901" s="739">
        <f t="shared" si="585"/>
        <v>0</v>
      </c>
      <c r="K901" s="740" t="e">
        <f t="shared" si="586"/>
        <v>#REF!</v>
      </c>
      <c r="L901" s="735" t="e">
        <f t="shared" si="587"/>
        <v>#REF!</v>
      </c>
      <c r="N901" s="741" t="e">
        <f t="shared" si="588"/>
        <v>#REF!</v>
      </c>
      <c r="O901" s="741" t="e">
        <f t="shared" si="589"/>
        <v>#REF!</v>
      </c>
    </row>
    <row r="902" spans="1:15" s="298" customFormat="1" ht="17.100000000000001" hidden="1" customHeight="1">
      <c r="A902" s="736" t="e">
        <f t="shared" si="556"/>
        <v>#REF!</v>
      </c>
      <c r="B902" s="296" t="s">
        <v>22</v>
      </c>
      <c r="C902" s="296" t="s">
        <v>866</v>
      </c>
      <c r="D902" s="297" t="s">
        <v>2</v>
      </c>
      <c r="E902" s="788"/>
      <c r="F902" s="738" t="e">
        <f>#REF!</f>
        <v>#REF!</v>
      </c>
      <c r="G902" s="738" t="e">
        <f>#REF!</f>
        <v>#REF!</v>
      </c>
      <c r="H902" s="738" t="e">
        <f>#REF!</f>
        <v>#REF!</v>
      </c>
      <c r="I902" s="739" t="e">
        <f t="shared" si="579"/>
        <v>#REF!</v>
      </c>
      <c r="J902" s="739" t="e">
        <f t="shared" si="580"/>
        <v>#REF!</v>
      </c>
      <c r="K902" s="740" t="e">
        <f t="shared" si="581"/>
        <v>#REF!</v>
      </c>
      <c r="L902" s="735" t="e">
        <f t="shared" si="565"/>
        <v>#REF!</v>
      </c>
      <c r="N902" s="741" t="e">
        <f t="shared" si="566"/>
        <v>#REF!</v>
      </c>
      <c r="O902" s="741" t="e">
        <f t="shared" si="567"/>
        <v>#REF!</v>
      </c>
    </row>
    <row r="903" spans="1:15" s="298" customFormat="1" ht="17.100000000000001" customHeight="1">
      <c r="A903" s="736" t="e">
        <f t="shared" si="556"/>
        <v>#REF!</v>
      </c>
      <c r="B903" s="296" t="s">
        <v>867</v>
      </c>
      <c r="C903" s="296" t="s">
        <v>1960</v>
      </c>
      <c r="D903" s="297" t="s">
        <v>2</v>
      </c>
      <c r="E903" s="788"/>
      <c r="F903" s="738"/>
      <c r="G903" s="738" t="e">
        <f>#REF!</f>
        <v>#REF!</v>
      </c>
      <c r="H903" s="738" t="e">
        <f>#REF!</f>
        <v>#REF!</v>
      </c>
      <c r="I903" s="739">
        <f t="shared" si="579"/>
        <v>0</v>
      </c>
      <c r="J903" s="739" t="e">
        <f t="shared" si="580"/>
        <v>#REF!</v>
      </c>
      <c r="K903" s="740" t="e">
        <f t="shared" si="581"/>
        <v>#REF!</v>
      </c>
      <c r="L903" s="735" t="e">
        <f t="shared" si="565"/>
        <v>#REF!</v>
      </c>
      <c r="N903" s="741" t="e">
        <f t="shared" si="566"/>
        <v>#REF!</v>
      </c>
      <c r="O903" s="741" t="e">
        <f t="shared" si="567"/>
        <v>#REF!</v>
      </c>
    </row>
    <row r="904" spans="1:15" s="298" customFormat="1" ht="17.100000000000001" hidden="1" customHeight="1">
      <c r="A904" s="736" t="e">
        <f t="shared" si="556"/>
        <v>#REF!</v>
      </c>
      <c r="B904" s="296" t="s">
        <v>572</v>
      </c>
      <c r="C904" s="296" t="s">
        <v>868</v>
      </c>
      <c r="D904" s="297" t="s">
        <v>2</v>
      </c>
      <c r="E904" s="788"/>
      <c r="F904" s="738"/>
      <c r="G904" s="738" t="e">
        <f>#REF!</f>
        <v>#REF!</v>
      </c>
      <c r="H904" s="738"/>
      <c r="I904" s="739">
        <f t="shared" si="579"/>
        <v>0</v>
      </c>
      <c r="J904" s="739" t="e">
        <f t="shared" si="580"/>
        <v>#REF!</v>
      </c>
      <c r="K904" s="740">
        <f t="shared" si="581"/>
        <v>0</v>
      </c>
      <c r="L904" s="735" t="e">
        <f t="shared" si="565"/>
        <v>#REF!</v>
      </c>
      <c r="N904" s="741" t="e">
        <f t="shared" si="566"/>
        <v>#REF!</v>
      </c>
      <c r="O904" s="741" t="e">
        <f t="shared" si="567"/>
        <v>#REF!</v>
      </c>
    </row>
    <row r="905" spans="1:15" s="298" customFormat="1" ht="17.100000000000001" customHeight="1">
      <c r="A905" s="736" t="e">
        <f t="shared" si="556"/>
        <v>#REF!</v>
      </c>
      <c r="B905" s="296" t="s">
        <v>713</v>
      </c>
      <c r="C905" s="296" t="s">
        <v>869</v>
      </c>
      <c r="D905" s="297" t="s">
        <v>2</v>
      </c>
      <c r="E905" s="788"/>
      <c r="F905" s="738" t="e">
        <f>#REF!</f>
        <v>#REF!</v>
      </c>
      <c r="G905" s="738" t="e">
        <f>#REF!</f>
        <v>#REF!</v>
      </c>
      <c r="H905" s="738"/>
      <c r="I905" s="739" t="e">
        <f t="shared" si="579"/>
        <v>#REF!</v>
      </c>
      <c r="J905" s="739" t="e">
        <f t="shared" si="580"/>
        <v>#REF!</v>
      </c>
      <c r="K905" s="740">
        <f t="shared" si="581"/>
        <v>0</v>
      </c>
      <c r="L905" s="735" t="e">
        <f t="shared" si="565"/>
        <v>#REF!</v>
      </c>
      <c r="N905" s="741" t="e">
        <f t="shared" si="566"/>
        <v>#REF!</v>
      </c>
      <c r="O905" s="741" t="e">
        <f t="shared" si="567"/>
        <v>#REF!</v>
      </c>
    </row>
    <row r="906" spans="1:15" s="298" customFormat="1" ht="17.100000000000001" customHeight="1">
      <c r="A906" s="736" t="e">
        <f t="shared" si="556"/>
        <v>#REF!</v>
      </c>
      <c r="B906" s="296" t="s">
        <v>1573</v>
      </c>
      <c r="C906" s="296" t="s">
        <v>781</v>
      </c>
      <c r="D906" s="297" t="s">
        <v>667</v>
      </c>
      <c r="E906" s="788"/>
      <c r="F906" s="738" t="e">
        <f>#REF!</f>
        <v>#REF!</v>
      </c>
      <c r="G906" s="738" t="e">
        <f>#REF!</f>
        <v>#REF!</v>
      </c>
      <c r="H906" s="738" t="e">
        <f>#REF!</f>
        <v>#REF!</v>
      </c>
      <c r="I906" s="739" t="e">
        <f t="shared" si="579"/>
        <v>#REF!</v>
      </c>
      <c r="J906" s="739" t="e">
        <f t="shared" si="580"/>
        <v>#REF!</v>
      </c>
      <c r="K906" s="740" t="e">
        <f t="shared" si="581"/>
        <v>#REF!</v>
      </c>
      <c r="L906" s="735" t="e">
        <f t="shared" ref="L906:L908" si="590">IF(OR(SUM(I906:K906)&lt;&gt;0,B906="*"),$L$5,0)</f>
        <v>#REF!</v>
      </c>
      <c r="N906" s="741" t="e">
        <f t="shared" ref="N906:N908" si="591">SUM(F906:H906)*1.278</f>
        <v>#REF!</v>
      </c>
      <c r="O906" s="741" t="e">
        <f t="shared" si="567"/>
        <v>#REF!</v>
      </c>
    </row>
    <row r="907" spans="1:15" s="298" customFormat="1" ht="17.100000000000001" customHeight="1">
      <c r="A907" s="736" t="e">
        <f t="shared" si="556"/>
        <v>#REF!</v>
      </c>
      <c r="B907" s="296" t="s">
        <v>592</v>
      </c>
      <c r="C907" s="296" t="s">
        <v>593</v>
      </c>
      <c r="D907" s="297" t="s">
        <v>9</v>
      </c>
      <c r="E907" s="788"/>
      <c r="F907" s="738" t="e">
        <f>#REF!</f>
        <v>#REF!</v>
      </c>
      <c r="G907" s="738" t="e">
        <f>#REF!</f>
        <v>#REF!</v>
      </c>
      <c r="H907" s="738" t="e">
        <f>#REF!</f>
        <v>#REF!</v>
      </c>
      <c r="I907" s="739" t="e">
        <f t="shared" si="579"/>
        <v>#REF!</v>
      </c>
      <c r="J907" s="739" t="e">
        <f t="shared" si="580"/>
        <v>#REF!</v>
      </c>
      <c r="K907" s="740" t="e">
        <f t="shared" si="581"/>
        <v>#REF!</v>
      </c>
      <c r="L907" s="735" t="e">
        <f t="shared" si="590"/>
        <v>#REF!</v>
      </c>
      <c r="N907" s="741" t="e">
        <f t="shared" si="591"/>
        <v>#REF!</v>
      </c>
      <c r="O907" s="741" t="e">
        <f t="shared" si="567"/>
        <v>#REF!</v>
      </c>
    </row>
    <row r="908" spans="1:15" s="298" customFormat="1" ht="17.100000000000001" customHeight="1">
      <c r="A908" s="736" t="e">
        <f t="shared" ref="A908:A960" si="592">IF(SUM(F908:H908)&lt;&gt;0,A907+L908,A907)</f>
        <v>#REF!</v>
      </c>
      <c r="B908" s="296" t="s">
        <v>594</v>
      </c>
      <c r="C908" s="296" t="s">
        <v>783</v>
      </c>
      <c r="D908" s="297" t="s">
        <v>671</v>
      </c>
      <c r="E908" s="788"/>
      <c r="F908" s="738" t="e">
        <f>#REF!</f>
        <v>#REF!</v>
      </c>
      <c r="G908" s="738" t="e">
        <f>#REF!</f>
        <v>#REF!</v>
      </c>
      <c r="H908" s="738" t="e">
        <f>#REF!</f>
        <v>#REF!</v>
      </c>
      <c r="I908" s="739" t="e">
        <f t="shared" si="579"/>
        <v>#REF!</v>
      </c>
      <c r="J908" s="739" t="e">
        <f t="shared" si="580"/>
        <v>#REF!</v>
      </c>
      <c r="K908" s="740" t="e">
        <f t="shared" si="581"/>
        <v>#REF!</v>
      </c>
      <c r="L908" s="735" t="e">
        <f t="shared" si="590"/>
        <v>#REF!</v>
      </c>
      <c r="N908" s="741" t="e">
        <f t="shared" si="591"/>
        <v>#REF!</v>
      </c>
      <c r="O908" s="741" t="e">
        <f t="shared" si="567"/>
        <v>#REF!</v>
      </c>
    </row>
    <row r="909" spans="1:15" s="298" customFormat="1" ht="17.100000000000001" customHeight="1">
      <c r="A909" s="736" t="e">
        <f t="shared" si="592"/>
        <v>#REF!</v>
      </c>
      <c r="B909" s="296" t="s">
        <v>1850</v>
      </c>
      <c r="C909" s="296" t="s">
        <v>1945</v>
      </c>
      <c r="D909" s="297" t="s">
        <v>1757</v>
      </c>
      <c r="E909" s="788"/>
      <c r="F909" s="738"/>
      <c r="G909" s="738" t="e">
        <f>#REF!</f>
        <v>#REF!</v>
      </c>
      <c r="H909" s="738" t="e">
        <f>#REF!</f>
        <v>#REF!</v>
      </c>
      <c r="I909" s="739">
        <f t="shared" si="579"/>
        <v>0</v>
      </c>
      <c r="J909" s="739" t="e">
        <f t="shared" si="580"/>
        <v>#REF!</v>
      </c>
      <c r="K909" s="740" t="e">
        <f t="shared" si="581"/>
        <v>#REF!</v>
      </c>
      <c r="L909" s="735" t="e">
        <f t="shared" ref="L909" si="593">IF(OR(SUM(I909:K909)&lt;&gt;0,B909="*"),$L$5,0)</f>
        <v>#REF!</v>
      </c>
      <c r="N909" s="741" t="e">
        <f t="shared" ref="N909" si="594">SUM(F909:H909)*1.278</f>
        <v>#REF!</v>
      </c>
      <c r="O909" s="741" t="e">
        <f t="shared" si="567"/>
        <v>#REF!</v>
      </c>
    </row>
    <row r="910" spans="1:15" s="298" customFormat="1" ht="17.100000000000001" customHeight="1">
      <c r="A910" s="736" t="e">
        <f t="shared" si="592"/>
        <v>#REF!</v>
      </c>
      <c r="B910" s="296" t="s">
        <v>1962</v>
      </c>
      <c r="C910" s="296" t="s">
        <v>1963</v>
      </c>
      <c r="D910" s="297" t="s">
        <v>1757</v>
      </c>
      <c r="E910" s="788"/>
      <c r="F910" s="738"/>
      <c r="G910" s="738" t="e">
        <f>#REF!</f>
        <v>#REF!</v>
      </c>
      <c r="H910" s="738" t="e">
        <f>#REF!</f>
        <v>#REF!</v>
      </c>
      <c r="I910" s="739">
        <f t="shared" ref="I910" si="595">E910*F910</f>
        <v>0</v>
      </c>
      <c r="J910" s="739" t="e">
        <f t="shared" ref="J910" si="596">E910*G910</f>
        <v>#REF!</v>
      </c>
      <c r="K910" s="740" t="e">
        <f t="shared" ref="K910" si="597">E910*H910</f>
        <v>#REF!</v>
      </c>
      <c r="L910" s="735" t="e">
        <f t="shared" ref="L910" si="598">IF(OR(SUM(I910:K910)&lt;&gt;0,B910="*"),$L$5,0)</f>
        <v>#REF!</v>
      </c>
      <c r="N910" s="741" t="e">
        <f t="shared" ref="N910" si="599">SUM(F910:H910)*1.278</f>
        <v>#REF!</v>
      </c>
      <c r="O910" s="741" t="e">
        <f t="shared" ref="O910" si="600">N910*E910</f>
        <v>#REF!</v>
      </c>
    </row>
    <row r="911" spans="1:15" s="298" customFormat="1" ht="17.100000000000001" hidden="1" customHeight="1">
      <c r="A911" s="736" t="e">
        <f t="shared" si="592"/>
        <v>#REF!</v>
      </c>
      <c r="B911" s="296" t="s">
        <v>786</v>
      </c>
      <c r="C911" s="296" t="s">
        <v>787</v>
      </c>
      <c r="D911" s="297" t="s">
        <v>747</v>
      </c>
      <c r="E911" s="788"/>
      <c r="F911" s="738" t="e">
        <f>#REF!</f>
        <v>#REF!</v>
      </c>
      <c r="G911" s="738" t="e">
        <f>#REF!</f>
        <v>#REF!</v>
      </c>
      <c r="H911" s="738" t="e">
        <f>#REF!</f>
        <v>#REF!</v>
      </c>
      <c r="I911" s="739" t="e">
        <f t="shared" si="579"/>
        <v>#REF!</v>
      </c>
      <c r="J911" s="739" t="e">
        <f t="shared" si="580"/>
        <v>#REF!</v>
      </c>
      <c r="K911" s="740" t="e">
        <f t="shared" si="581"/>
        <v>#REF!</v>
      </c>
      <c r="L911" s="735" t="e">
        <f t="shared" si="565"/>
        <v>#REF!</v>
      </c>
      <c r="N911" s="741" t="e">
        <f t="shared" si="566"/>
        <v>#REF!</v>
      </c>
      <c r="O911" s="741" t="e">
        <f t="shared" si="567"/>
        <v>#REF!</v>
      </c>
    </row>
    <row r="912" spans="1:15" s="298" customFormat="1" ht="17.100000000000001" hidden="1" customHeight="1">
      <c r="A912" s="736" t="e">
        <f t="shared" si="592"/>
        <v>#REF!</v>
      </c>
      <c r="B912" s="296" t="s">
        <v>793</v>
      </c>
      <c r="C912" s="296" t="s">
        <v>794</v>
      </c>
      <c r="D912" s="297" t="s">
        <v>754</v>
      </c>
      <c r="E912" s="788"/>
      <c r="F912" s="738" t="e">
        <f>#REF!</f>
        <v>#REF!</v>
      </c>
      <c r="G912" s="738" t="e">
        <f>#REF!</f>
        <v>#REF!</v>
      </c>
      <c r="H912" s="738"/>
      <c r="I912" s="739" t="e">
        <f t="shared" si="579"/>
        <v>#REF!</v>
      </c>
      <c r="J912" s="739" t="e">
        <f t="shared" si="580"/>
        <v>#REF!</v>
      </c>
      <c r="K912" s="740">
        <f t="shared" si="581"/>
        <v>0</v>
      </c>
      <c r="L912" s="735" t="e">
        <f t="shared" si="565"/>
        <v>#REF!</v>
      </c>
      <c r="N912" s="741" t="e">
        <f t="shared" si="566"/>
        <v>#REF!</v>
      </c>
      <c r="O912" s="741" t="e">
        <f t="shared" si="567"/>
        <v>#REF!</v>
      </c>
    </row>
    <row r="913" spans="1:15" s="298" customFormat="1" ht="17.100000000000001" hidden="1" customHeight="1">
      <c r="A913" s="736" t="e">
        <f t="shared" si="592"/>
        <v>#REF!</v>
      </c>
      <c r="B913" s="296" t="s">
        <v>550</v>
      </c>
      <c r="C913" s="296" t="s">
        <v>812</v>
      </c>
      <c r="D913" s="297" t="s">
        <v>2</v>
      </c>
      <c r="E913" s="788"/>
      <c r="F913" s="738"/>
      <c r="G913" s="738" t="e">
        <f>#REF!</f>
        <v>#REF!</v>
      </c>
      <c r="H913" s="738" t="e">
        <f>#REF!</f>
        <v>#REF!</v>
      </c>
      <c r="I913" s="739">
        <f t="shared" si="579"/>
        <v>0</v>
      </c>
      <c r="J913" s="739" t="e">
        <f t="shared" si="580"/>
        <v>#REF!</v>
      </c>
      <c r="K913" s="740" t="e">
        <f t="shared" si="581"/>
        <v>#REF!</v>
      </c>
      <c r="L913" s="735" t="e">
        <f t="shared" si="565"/>
        <v>#REF!</v>
      </c>
      <c r="N913" s="741" t="e">
        <f t="shared" si="566"/>
        <v>#REF!</v>
      </c>
      <c r="O913" s="741" t="e">
        <f t="shared" si="567"/>
        <v>#REF!</v>
      </c>
    </row>
    <row r="914" spans="1:15" s="298" customFormat="1" ht="17.100000000000001" hidden="1" customHeight="1">
      <c r="A914" s="736" t="e">
        <f t="shared" si="592"/>
        <v>#REF!</v>
      </c>
      <c r="B914" s="296" t="s">
        <v>809</v>
      </c>
      <c r="C914" s="296" t="s">
        <v>853</v>
      </c>
      <c r="D914" s="297" t="s">
        <v>551</v>
      </c>
      <c r="E914" s="1125"/>
      <c r="F914" s="738" t="e">
        <f>#REF!</f>
        <v>#REF!</v>
      </c>
      <c r="G914" s="738" t="e">
        <f>#REF!</f>
        <v>#REF!</v>
      </c>
      <c r="H914" s="738"/>
      <c r="I914" s="739" t="e">
        <f t="shared" si="579"/>
        <v>#REF!</v>
      </c>
      <c r="J914" s="739" t="e">
        <f t="shared" si="580"/>
        <v>#REF!</v>
      </c>
      <c r="K914" s="740">
        <f t="shared" si="581"/>
        <v>0</v>
      </c>
      <c r="L914" s="735" t="e">
        <f t="shared" si="565"/>
        <v>#REF!</v>
      </c>
      <c r="N914" s="741" t="e">
        <f t="shared" si="566"/>
        <v>#REF!</v>
      </c>
      <c r="O914" s="741" t="e">
        <f t="shared" si="567"/>
        <v>#REF!</v>
      </c>
    </row>
    <row r="915" spans="1:15" s="298" customFormat="1" ht="17.100000000000001" customHeight="1">
      <c r="A915" s="736" t="e">
        <f t="shared" si="592"/>
        <v>#REF!</v>
      </c>
      <c r="B915" s="296" t="s">
        <v>870</v>
      </c>
      <c r="C915" s="296" t="s">
        <v>871</v>
      </c>
      <c r="D915" s="297" t="s">
        <v>2</v>
      </c>
      <c r="E915" s="788"/>
      <c r="F915" s="738"/>
      <c r="G915" s="738" t="e">
        <f>#REF!</f>
        <v>#REF!</v>
      </c>
      <c r="H915" s="738" t="e">
        <f>#REF!</f>
        <v>#REF!</v>
      </c>
      <c r="I915" s="739">
        <f t="shared" si="579"/>
        <v>0</v>
      </c>
      <c r="J915" s="739" t="e">
        <f t="shared" si="580"/>
        <v>#REF!</v>
      </c>
      <c r="K915" s="740" t="e">
        <f t="shared" si="581"/>
        <v>#REF!</v>
      </c>
      <c r="L915" s="735" t="e">
        <f t="shared" si="565"/>
        <v>#REF!</v>
      </c>
      <c r="N915" s="741" t="e">
        <f t="shared" si="566"/>
        <v>#REF!</v>
      </c>
      <c r="O915" s="741" t="e">
        <f t="shared" si="567"/>
        <v>#REF!</v>
      </c>
    </row>
    <row r="916" spans="1:15" s="298" customFormat="1" ht="17.100000000000001" customHeight="1">
      <c r="A916" s="736" t="e">
        <f t="shared" si="592"/>
        <v>#REF!</v>
      </c>
      <c r="B916" s="296" t="s">
        <v>872</v>
      </c>
      <c r="C916" s="296" t="s">
        <v>873</v>
      </c>
      <c r="D916" s="297" t="s">
        <v>874</v>
      </c>
      <c r="E916" s="788"/>
      <c r="F916" s="738"/>
      <c r="G916" s="738"/>
      <c r="H916" s="738" t="e">
        <f>#REF!</f>
        <v>#REF!</v>
      </c>
      <c r="I916" s="739">
        <f t="shared" si="579"/>
        <v>0</v>
      </c>
      <c r="J916" s="739">
        <f t="shared" si="580"/>
        <v>0</v>
      </c>
      <c r="K916" s="740" t="e">
        <f t="shared" si="581"/>
        <v>#REF!</v>
      </c>
      <c r="L916" s="735" t="e">
        <f t="shared" si="565"/>
        <v>#REF!</v>
      </c>
      <c r="N916" s="741" t="e">
        <f t="shared" si="566"/>
        <v>#REF!</v>
      </c>
      <c r="O916" s="741" t="e">
        <f t="shared" si="567"/>
        <v>#REF!</v>
      </c>
    </row>
    <row r="917" spans="1:15" s="298" customFormat="1" ht="17.100000000000001" customHeight="1">
      <c r="A917" s="736" t="e">
        <f t="shared" si="592"/>
        <v>#REF!</v>
      </c>
      <c r="B917" s="296" t="s">
        <v>617</v>
      </c>
      <c r="C917" s="296" t="s">
        <v>875</v>
      </c>
      <c r="D917" s="297" t="s">
        <v>2</v>
      </c>
      <c r="E917" s="788"/>
      <c r="F917" s="738"/>
      <c r="G917" s="738" t="e">
        <f>#REF!</f>
        <v>#REF!</v>
      </c>
      <c r="H917" s="738" t="e">
        <f>#REF!</f>
        <v>#REF!</v>
      </c>
      <c r="I917" s="739">
        <f t="shared" si="579"/>
        <v>0</v>
      </c>
      <c r="J917" s="739" t="e">
        <f t="shared" si="580"/>
        <v>#REF!</v>
      </c>
      <c r="K917" s="740" t="e">
        <f t="shared" si="581"/>
        <v>#REF!</v>
      </c>
      <c r="L917" s="735" t="e">
        <f t="shared" si="565"/>
        <v>#REF!</v>
      </c>
      <c r="N917" s="741" t="e">
        <f t="shared" si="566"/>
        <v>#REF!</v>
      </c>
      <c r="O917" s="741" t="e">
        <f t="shared" si="567"/>
        <v>#REF!</v>
      </c>
    </row>
    <row r="918" spans="1:15" s="298" customFormat="1" ht="17.100000000000001" hidden="1" customHeight="1">
      <c r="A918" s="736" t="e">
        <f t="shared" si="592"/>
        <v>#REF!</v>
      </c>
      <c r="B918" s="296" t="s">
        <v>876</v>
      </c>
      <c r="C918" s="296" t="s">
        <v>877</v>
      </c>
      <c r="D918" s="297" t="s">
        <v>747</v>
      </c>
      <c r="E918" s="788"/>
      <c r="F918" s="738"/>
      <c r="G918" s="738" t="e">
        <f>#REF!</f>
        <v>#REF!</v>
      </c>
      <c r="H918" s="738" t="e">
        <f>#REF!</f>
        <v>#REF!</v>
      </c>
      <c r="I918" s="739">
        <f t="shared" si="579"/>
        <v>0</v>
      </c>
      <c r="J918" s="739" t="e">
        <f t="shared" si="580"/>
        <v>#REF!</v>
      </c>
      <c r="K918" s="740" t="e">
        <f t="shared" si="581"/>
        <v>#REF!</v>
      </c>
      <c r="L918" s="735" t="e">
        <f t="shared" si="565"/>
        <v>#REF!</v>
      </c>
      <c r="N918" s="741" t="e">
        <f t="shared" si="566"/>
        <v>#REF!</v>
      </c>
      <c r="O918" s="741" t="e">
        <f t="shared" si="567"/>
        <v>#REF!</v>
      </c>
    </row>
    <row r="919" spans="1:15" s="298" customFormat="1" ht="17.100000000000001" customHeight="1">
      <c r="A919" s="736" t="e">
        <f t="shared" si="592"/>
        <v>#REF!</v>
      </c>
      <c r="B919" s="296" t="s">
        <v>1992</v>
      </c>
      <c r="C919" s="296" t="s">
        <v>2002</v>
      </c>
      <c r="D919" s="297" t="s">
        <v>2</v>
      </c>
      <c r="E919" s="788"/>
      <c r="F919" s="738"/>
      <c r="G919" s="738"/>
      <c r="H919" s="738" t="e">
        <f>#REF!</f>
        <v>#REF!</v>
      </c>
      <c r="I919" s="739">
        <f>E919*F919</f>
        <v>0</v>
      </c>
      <c r="J919" s="739">
        <f>E919*G919</f>
        <v>0</v>
      </c>
      <c r="K919" s="740" t="e">
        <f>E919*H919</f>
        <v>#REF!</v>
      </c>
      <c r="L919" s="735" t="e">
        <f t="shared" ref="L919" si="601">IF(OR(SUM(I919:K919)&lt;&gt;0,B919="*"),$L$5,0)</f>
        <v>#REF!</v>
      </c>
      <c r="N919" s="741" t="e">
        <f t="shared" ref="N919" si="602">SUM(F919:H919)*1.278</f>
        <v>#REF!</v>
      </c>
      <c r="O919" s="741" t="e">
        <f t="shared" si="567"/>
        <v>#REF!</v>
      </c>
    </row>
    <row r="920" spans="1:15" s="298" customFormat="1" ht="17.100000000000001" hidden="1" customHeight="1">
      <c r="A920" s="736" t="e">
        <f t="shared" si="592"/>
        <v>#REF!</v>
      </c>
      <c r="B920" s="296" t="s">
        <v>1491</v>
      </c>
      <c r="C920" s="296" t="s">
        <v>878</v>
      </c>
      <c r="D920" s="297" t="s">
        <v>2</v>
      </c>
      <c r="E920" s="788"/>
      <c r="F920" s="738"/>
      <c r="G920" s="738"/>
      <c r="H920" s="738" t="e">
        <f>#REF!</f>
        <v>#REF!</v>
      </c>
      <c r="I920" s="739">
        <f t="shared" ref="I920:I925" si="603">E920*F920</f>
        <v>0</v>
      </c>
      <c r="J920" s="739">
        <f t="shared" ref="J920:J925" si="604">E920*G920</f>
        <v>0</v>
      </c>
      <c r="K920" s="740" t="e">
        <f t="shared" ref="K920:K925" si="605">E920*H920</f>
        <v>#REF!</v>
      </c>
      <c r="L920" s="735" t="e">
        <f t="shared" ref="L920:L931" si="606">IF(OR(SUM(I920:K920)&lt;&gt;0,B920="*"),$L$5,0)</f>
        <v>#REF!</v>
      </c>
      <c r="N920" s="741" t="e">
        <f t="shared" si="566"/>
        <v>#REF!</v>
      </c>
      <c r="O920" s="741" t="e">
        <f t="shared" si="567"/>
        <v>#REF!</v>
      </c>
    </row>
    <row r="921" spans="1:15" s="298" customFormat="1" ht="17.100000000000001" customHeight="1">
      <c r="A921" s="838" t="e">
        <f t="shared" si="592"/>
        <v>#REF!</v>
      </c>
      <c r="B921" s="296" t="s">
        <v>1746</v>
      </c>
      <c r="C921" s="737" t="s">
        <v>1970</v>
      </c>
      <c r="D921" s="297"/>
      <c r="E921" s="788"/>
      <c r="F921" s="738"/>
      <c r="G921" s="738"/>
      <c r="H921" s="738"/>
      <c r="I921" s="739">
        <f t="shared" si="603"/>
        <v>0</v>
      </c>
      <c r="J921" s="739">
        <f t="shared" si="604"/>
        <v>0</v>
      </c>
      <c r="K921" s="740">
        <f t="shared" si="605"/>
        <v>0</v>
      </c>
      <c r="L921" s="735">
        <f t="shared" si="606"/>
        <v>1</v>
      </c>
      <c r="N921" s="741"/>
      <c r="O921" s="741"/>
    </row>
    <row r="922" spans="1:15" s="298" customFormat="1" ht="17.100000000000001" customHeight="1">
      <c r="A922" s="736" t="e">
        <f t="shared" si="592"/>
        <v>#REF!</v>
      </c>
      <c r="B922" s="296" t="s">
        <v>119</v>
      </c>
      <c r="C922" s="296" t="s">
        <v>631</v>
      </c>
      <c r="D922" s="297" t="s">
        <v>2</v>
      </c>
      <c r="E922" s="788"/>
      <c r="F922" s="738"/>
      <c r="G922" s="738" t="e">
        <f>#REF!</f>
        <v>#REF!</v>
      </c>
      <c r="H922" s="738"/>
      <c r="I922" s="739">
        <f t="shared" si="603"/>
        <v>0</v>
      </c>
      <c r="J922" s="739" t="e">
        <f t="shared" si="604"/>
        <v>#REF!</v>
      </c>
      <c r="K922" s="740">
        <f t="shared" si="605"/>
        <v>0</v>
      </c>
      <c r="L922" s="735" t="e">
        <f t="shared" si="606"/>
        <v>#REF!</v>
      </c>
      <c r="N922" s="741" t="e">
        <f t="shared" ref="N922:N926" si="607">SUM(F922:H922)*1.278</f>
        <v>#REF!</v>
      </c>
      <c r="O922" s="741" t="e">
        <f t="shared" si="567"/>
        <v>#REF!</v>
      </c>
    </row>
    <row r="923" spans="1:15" s="298" customFormat="1" ht="17.100000000000001" customHeight="1">
      <c r="A923" s="736" t="e">
        <f t="shared" si="592"/>
        <v>#REF!</v>
      </c>
      <c r="B923" s="296" t="s">
        <v>1395</v>
      </c>
      <c r="C923" s="296" t="s">
        <v>634</v>
      </c>
      <c r="D923" s="297" t="s">
        <v>2</v>
      </c>
      <c r="E923" s="788"/>
      <c r="F923" s="738" t="e">
        <f>#REF!</f>
        <v>#REF!</v>
      </c>
      <c r="G923" s="738" t="e">
        <f>#REF!</f>
        <v>#REF!</v>
      </c>
      <c r="H923" s="738" t="e">
        <f>#REF!</f>
        <v>#REF!</v>
      </c>
      <c r="I923" s="739" t="e">
        <f t="shared" si="603"/>
        <v>#REF!</v>
      </c>
      <c r="J923" s="739" t="e">
        <f t="shared" si="604"/>
        <v>#REF!</v>
      </c>
      <c r="K923" s="740" t="e">
        <f t="shared" si="605"/>
        <v>#REF!</v>
      </c>
      <c r="L923" s="735" t="e">
        <f t="shared" si="606"/>
        <v>#REF!</v>
      </c>
      <c r="N923" s="741" t="e">
        <f t="shared" si="607"/>
        <v>#REF!</v>
      </c>
      <c r="O923" s="741" t="e">
        <f t="shared" si="567"/>
        <v>#REF!</v>
      </c>
    </row>
    <row r="924" spans="1:15" s="298" customFormat="1" ht="17.100000000000001" customHeight="1">
      <c r="A924" s="736" t="e">
        <f t="shared" si="592"/>
        <v>#REF!</v>
      </c>
      <c r="B924" s="296" t="s">
        <v>1557</v>
      </c>
      <c r="C924" s="296" t="s">
        <v>1558</v>
      </c>
      <c r="D924" s="297" t="s">
        <v>111</v>
      </c>
      <c r="E924" s="788"/>
      <c r="F924" s="738" t="e">
        <f>#REF!</f>
        <v>#REF!</v>
      </c>
      <c r="G924" s="738" t="e">
        <f>#REF!</f>
        <v>#REF!</v>
      </c>
      <c r="H924" s="738" t="e">
        <f>#REF!</f>
        <v>#REF!</v>
      </c>
      <c r="I924" s="739" t="e">
        <f t="shared" si="603"/>
        <v>#REF!</v>
      </c>
      <c r="J924" s="739" t="e">
        <f t="shared" si="604"/>
        <v>#REF!</v>
      </c>
      <c r="K924" s="740" t="e">
        <f t="shared" si="605"/>
        <v>#REF!</v>
      </c>
      <c r="L924" s="735" t="e">
        <f t="shared" si="606"/>
        <v>#REF!</v>
      </c>
      <c r="N924" s="741" t="e">
        <f t="shared" si="607"/>
        <v>#REF!</v>
      </c>
      <c r="O924" s="741" t="e">
        <f t="shared" si="567"/>
        <v>#REF!</v>
      </c>
    </row>
    <row r="925" spans="1:15" s="298" customFormat="1" ht="17.100000000000001" customHeight="1">
      <c r="A925" s="736" t="e">
        <f t="shared" si="592"/>
        <v>#REF!</v>
      </c>
      <c r="B925" s="296" t="s">
        <v>1395</v>
      </c>
      <c r="C925" s="296" t="s">
        <v>634</v>
      </c>
      <c r="D925" s="297" t="s">
        <v>2</v>
      </c>
      <c r="E925" s="788"/>
      <c r="F925" s="738" t="e">
        <f>#REF!</f>
        <v>#REF!</v>
      </c>
      <c r="G925" s="738" t="e">
        <f>#REF!</f>
        <v>#REF!</v>
      </c>
      <c r="H925" s="738" t="e">
        <f>#REF!</f>
        <v>#REF!</v>
      </c>
      <c r="I925" s="739" t="e">
        <f t="shared" si="603"/>
        <v>#REF!</v>
      </c>
      <c r="J925" s="739" t="e">
        <f t="shared" si="604"/>
        <v>#REF!</v>
      </c>
      <c r="K925" s="740" t="e">
        <f t="shared" si="605"/>
        <v>#REF!</v>
      </c>
      <c r="L925" s="735" t="e">
        <f t="shared" si="606"/>
        <v>#REF!</v>
      </c>
      <c r="N925" s="741" t="e">
        <f t="shared" si="607"/>
        <v>#REF!</v>
      </c>
      <c r="O925" s="741" t="e">
        <f t="shared" si="567"/>
        <v>#REF!</v>
      </c>
    </row>
    <row r="926" spans="1:15" s="298" customFormat="1" ht="17.100000000000001" customHeight="1">
      <c r="A926" s="736" t="e">
        <f t="shared" si="592"/>
        <v>#REF!</v>
      </c>
      <c r="B926" s="296" t="s">
        <v>632</v>
      </c>
      <c r="C926" s="296" t="s">
        <v>633</v>
      </c>
      <c r="D926" s="297" t="s">
        <v>111</v>
      </c>
      <c r="E926" s="788"/>
      <c r="F926" s="738" t="e">
        <f>#REF!</f>
        <v>#REF!</v>
      </c>
      <c r="G926" s="738" t="e">
        <f>#REF!</f>
        <v>#REF!</v>
      </c>
      <c r="H926" s="738"/>
      <c r="I926" s="739" t="e">
        <f t="shared" ref="I926" si="608">E926*F926</f>
        <v>#REF!</v>
      </c>
      <c r="J926" s="739" t="e">
        <f t="shared" ref="J926" si="609">E926*G926</f>
        <v>#REF!</v>
      </c>
      <c r="K926" s="740">
        <f t="shared" si="581"/>
        <v>0</v>
      </c>
      <c r="L926" s="735" t="e">
        <f t="shared" si="606"/>
        <v>#REF!</v>
      </c>
      <c r="N926" s="741" t="e">
        <f t="shared" si="607"/>
        <v>#REF!</v>
      </c>
      <c r="O926" s="741" t="e">
        <f t="shared" si="567"/>
        <v>#REF!</v>
      </c>
    </row>
    <row r="927" spans="1:15" s="831" customFormat="1" ht="17.100000000000001" customHeight="1">
      <c r="A927" s="736" t="e">
        <f t="shared" si="592"/>
        <v>#REF!</v>
      </c>
      <c r="B927" s="827" t="s">
        <v>1971</v>
      </c>
      <c r="C927" s="827" t="s">
        <v>1972</v>
      </c>
      <c r="D927" s="828" t="s">
        <v>2</v>
      </c>
      <c r="E927" s="788"/>
      <c r="F927" s="830" t="e">
        <f>#REF!</f>
        <v>#REF!</v>
      </c>
      <c r="G927" s="830" t="e">
        <f>#REF!</f>
        <v>#REF!</v>
      </c>
      <c r="H927" s="830" t="e">
        <f>#REF!</f>
        <v>#REF!</v>
      </c>
      <c r="I927" s="1126" t="e">
        <f>E927*F927</f>
        <v>#REF!</v>
      </c>
      <c r="J927" s="1126" t="e">
        <f>E927*G927</f>
        <v>#REF!</v>
      </c>
      <c r="K927" s="1090" t="e">
        <f>E927*H927</f>
        <v>#REF!</v>
      </c>
      <c r="L927" s="735" t="e">
        <f t="shared" si="606"/>
        <v>#REF!</v>
      </c>
      <c r="M927" s="832" t="e">
        <f t="shared" ref="M927:M929" si="610">SUM(F927:H927)*1.2785</f>
        <v>#REF!</v>
      </c>
    </row>
    <row r="928" spans="1:15" s="831" customFormat="1" ht="17.100000000000001" customHeight="1">
      <c r="A928" s="736" t="e">
        <f t="shared" si="592"/>
        <v>#REF!</v>
      </c>
      <c r="B928" s="827" t="s">
        <v>1973</v>
      </c>
      <c r="C928" s="827" t="s">
        <v>1974</v>
      </c>
      <c r="D928" s="828" t="s">
        <v>59</v>
      </c>
      <c r="E928" s="788"/>
      <c r="F928" s="830" t="e">
        <f>#REF!</f>
        <v>#REF!</v>
      </c>
      <c r="G928" s="830" t="e">
        <f>#REF!</f>
        <v>#REF!</v>
      </c>
      <c r="H928" s="830" t="e">
        <f>#REF!</f>
        <v>#REF!</v>
      </c>
      <c r="I928" s="1126" t="e">
        <f t="shared" ref="I928:I930" si="611">E928*F928</f>
        <v>#REF!</v>
      </c>
      <c r="J928" s="1126" t="e">
        <f t="shared" ref="J928:J930" si="612">E928*G928</f>
        <v>#REF!</v>
      </c>
      <c r="K928" s="1090" t="e">
        <f t="shared" ref="K928:K930" si="613">E928*H928</f>
        <v>#REF!</v>
      </c>
      <c r="L928" s="735" t="e">
        <f t="shared" si="606"/>
        <v>#REF!</v>
      </c>
      <c r="M928" s="832" t="e">
        <f t="shared" si="610"/>
        <v>#REF!</v>
      </c>
    </row>
    <row r="929" spans="1:15" s="831" customFormat="1" ht="17.100000000000001" customHeight="1">
      <c r="A929" s="736" t="e">
        <f t="shared" si="592"/>
        <v>#REF!</v>
      </c>
      <c r="B929" s="827" t="s">
        <v>1975</v>
      </c>
      <c r="C929" s="827" t="s">
        <v>1976</v>
      </c>
      <c r="D929" s="828" t="s">
        <v>59</v>
      </c>
      <c r="E929" s="788"/>
      <c r="F929" s="830" t="e">
        <f>#REF!</f>
        <v>#REF!</v>
      </c>
      <c r="G929" s="830" t="e">
        <f>#REF!</f>
        <v>#REF!</v>
      </c>
      <c r="H929" s="830" t="e">
        <f>#REF!</f>
        <v>#REF!</v>
      </c>
      <c r="I929" s="1126" t="e">
        <f t="shared" si="611"/>
        <v>#REF!</v>
      </c>
      <c r="J929" s="1126" t="e">
        <f t="shared" si="612"/>
        <v>#REF!</v>
      </c>
      <c r="K929" s="1090" t="e">
        <f t="shared" si="613"/>
        <v>#REF!</v>
      </c>
      <c r="L929" s="735" t="e">
        <f t="shared" si="606"/>
        <v>#REF!</v>
      </c>
      <c r="M929" s="832" t="e">
        <f t="shared" si="610"/>
        <v>#REF!</v>
      </c>
    </row>
    <row r="930" spans="1:15" s="298" customFormat="1" ht="17.100000000000001" customHeight="1">
      <c r="A930" s="736" t="e">
        <f t="shared" si="592"/>
        <v>#REF!</v>
      </c>
      <c r="B930" s="296" t="s">
        <v>800</v>
      </c>
      <c r="C930" s="296" t="s">
        <v>85</v>
      </c>
      <c r="D930" s="297" t="s">
        <v>9</v>
      </c>
      <c r="E930" s="788"/>
      <c r="F930" s="738" t="e">
        <f>#REF!</f>
        <v>#REF!</v>
      </c>
      <c r="G930" s="738" t="e">
        <f>#REF!</f>
        <v>#REF!</v>
      </c>
      <c r="H930" s="738" t="e">
        <f>#REF!</f>
        <v>#REF!</v>
      </c>
      <c r="I930" s="739" t="e">
        <f t="shared" si="611"/>
        <v>#REF!</v>
      </c>
      <c r="J930" s="739" t="e">
        <f t="shared" si="612"/>
        <v>#REF!</v>
      </c>
      <c r="K930" s="740" t="e">
        <f t="shared" si="613"/>
        <v>#REF!</v>
      </c>
      <c r="L930" s="735" t="e">
        <f t="shared" ref="L930" si="614">IF(OR(SUM(I930:K930)&lt;&gt;0,B930="*"),$L$5,0)</f>
        <v>#REF!</v>
      </c>
      <c r="N930" s="741" t="e">
        <f t="shared" ref="N930" si="615">SUM(F930:H930)*1.278</f>
        <v>#REF!</v>
      </c>
      <c r="O930" s="741" t="e">
        <f t="shared" ref="O930" si="616">N930*E930</f>
        <v>#REF!</v>
      </c>
    </row>
    <row r="931" spans="1:15" s="298" customFormat="1" ht="17.100000000000001" hidden="1" customHeight="1">
      <c r="A931" s="736" t="e">
        <f t="shared" si="592"/>
        <v>#REF!</v>
      </c>
      <c r="B931" s="296" t="s">
        <v>0</v>
      </c>
      <c r="C931" s="737" t="s">
        <v>879</v>
      </c>
      <c r="D931" s="297" t="s">
        <v>0</v>
      </c>
      <c r="E931" s="788"/>
      <c r="F931" s="738"/>
      <c r="G931" s="738"/>
      <c r="H931" s="738"/>
      <c r="I931" s="739"/>
      <c r="J931" s="739"/>
      <c r="K931" s="740"/>
      <c r="L931" s="735">
        <f t="shared" si="606"/>
        <v>0</v>
      </c>
      <c r="N931" s="741">
        <f t="shared" si="566"/>
        <v>0</v>
      </c>
      <c r="O931" s="741">
        <f t="shared" si="567"/>
        <v>0</v>
      </c>
    </row>
    <row r="932" spans="1:15" s="298" customFormat="1" ht="17.100000000000001" hidden="1" customHeight="1">
      <c r="A932" s="736" t="e">
        <f t="shared" si="592"/>
        <v>#REF!</v>
      </c>
      <c r="B932" s="296" t="s">
        <v>880</v>
      </c>
      <c r="C932" s="296" t="s">
        <v>881</v>
      </c>
      <c r="D932" s="297" t="s">
        <v>7</v>
      </c>
      <c r="E932" s="788"/>
      <c r="F932" s="738" t="e">
        <f>#REF!</f>
        <v>#REF!</v>
      </c>
      <c r="G932" s="738" t="e">
        <f>#REF!</f>
        <v>#REF!</v>
      </c>
      <c r="H932" s="738" t="e">
        <f>#REF!</f>
        <v>#REF!</v>
      </c>
      <c r="I932" s="739" t="e">
        <f>E932*F932</f>
        <v>#REF!</v>
      </c>
      <c r="J932" s="739" t="e">
        <f>E932*G932</f>
        <v>#REF!</v>
      </c>
      <c r="K932" s="740" t="e">
        <f>E932*H932</f>
        <v>#REF!</v>
      </c>
      <c r="L932" s="735" t="e">
        <f t="shared" si="565"/>
        <v>#REF!</v>
      </c>
      <c r="N932" s="741" t="e">
        <f t="shared" si="566"/>
        <v>#REF!</v>
      </c>
      <c r="O932" s="741" t="e">
        <f t="shared" si="567"/>
        <v>#REF!</v>
      </c>
    </row>
    <row r="933" spans="1:15" s="298" customFormat="1" ht="17.100000000000001" hidden="1" customHeight="1">
      <c r="A933" s="736" t="e">
        <f t="shared" si="592"/>
        <v>#REF!</v>
      </c>
      <c r="B933" s="296" t="s">
        <v>882</v>
      </c>
      <c r="C933" s="296" t="s">
        <v>883</v>
      </c>
      <c r="D933" s="297" t="s">
        <v>7</v>
      </c>
      <c r="E933" s="788"/>
      <c r="F933" s="738"/>
      <c r="G933" s="738" t="e">
        <f>#REF!</f>
        <v>#REF!</v>
      </c>
      <c r="H933" s="738" t="e">
        <f>#REF!</f>
        <v>#REF!</v>
      </c>
      <c r="I933" s="739">
        <f>E933*F933</f>
        <v>0</v>
      </c>
      <c r="J933" s="739" t="e">
        <f>E933*G933</f>
        <v>#REF!</v>
      </c>
      <c r="K933" s="740" t="e">
        <f>E933*H933</f>
        <v>#REF!</v>
      </c>
      <c r="L933" s="735" t="e">
        <f t="shared" si="565"/>
        <v>#REF!</v>
      </c>
      <c r="N933" s="741" t="e">
        <f t="shared" si="566"/>
        <v>#REF!</v>
      </c>
      <c r="O933" s="741" t="e">
        <f t="shared" si="567"/>
        <v>#REF!</v>
      </c>
    </row>
    <row r="934" spans="1:15" s="298" customFormat="1" ht="17.100000000000001" hidden="1" customHeight="1">
      <c r="A934" s="736" t="e">
        <f t="shared" si="592"/>
        <v>#REF!</v>
      </c>
      <c r="B934" s="296" t="s">
        <v>884</v>
      </c>
      <c r="C934" s="296" t="s">
        <v>885</v>
      </c>
      <c r="D934" s="297" t="s">
        <v>2</v>
      </c>
      <c r="E934" s="788"/>
      <c r="F934" s="738"/>
      <c r="G934" s="738"/>
      <c r="H934" s="738" t="e">
        <f>#REF!</f>
        <v>#REF!</v>
      </c>
      <c r="I934" s="739">
        <f>E934*F934</f>
        <v>0</v>
      </c>
      <c r="J934" s="739">
        <f>E934*G934</f>
        <v>0</v>
      </c>
      <c r="K934" s="740" t="e">
        <f>E934*H934</f>
        <v>#REF!</v>
      </c>
      <c r="L934" s="735" t="e">
        <f t="shared" si="565"/>
        <v>#REF!</v>
      </c>
      <c r="N934" s="741" t="e">
        <f t="shared" si="566"/>
        <v>#REF!</v>
      </c>
      <c r="O934" s="741" t="e">
        <f t="shared" si="567"/>
        <v>#REF!</v>
      </c>
    </row>
    <row r="935" spans="1:15" s="298" customFormat="1" ht="17.100000000000001" hidden="1" customHeight="1">
      <c r="A935" s="736" t="e">
        <f t="shared" si="592"/>
        <v>#REF!</v>
      </c>
      <c r="B935" s="296" t="s">
        <v>872</v>
      </c>
      <c r="C935" s="296" t="s">
        <v>886</v>
      </c>
      <c r="D935" s="297" t="s">
        <v>874</v>
      </c>
      <c r="E935" s="788"/>
      <c r="F935" s="738"/>
      <c r="G935" s="738"/>
      <c r="H935" s="738" t="e">
        <f>#REF!</f>
        <v>#REF!</v>
      </c>
      <c r="I935" s="739">
        <f>E935*F935</f>
        <v>0</v>
      </c>
      <c r="J935" s="739">
        <f>E935*G935</f>
        <v>0</v>
      </c>
      <c r="K935" s="740" t="e">
        <f>E935*H935</f>
        <v>#REF!</v>
      </c>
      <c r="L935" s="735" t="e">
        <f t="shared" si="565"/>
        <v>#REF!</v>
      </c>
      <c r="N935" s="741" t="e">
        <f t="shared" si="566"/>
        <v>#REF!</v>
      </c>
      <c r="O935" s="741" t="e">
        <f t="shared" si="567"/>
        <v>#REF!</v>
      </c>
    </row>
    <row r="936" spans="1:15" s="298" customFormat="1" ht="17.100000000000001" customHeight="1">
      <c r="A936" s="839" t="e">
        <f t="shared" si="592"/>
        <v>#REF!</v>
      </c>
      <c r="B936" s="744" t="s">
        <v>1746</v>
      </c>
      <c r="C936" s="744" t="s">
        <v>0</v>
      </c>
      <c r="D936" s="745" t="s">
        <v>0</v>
      </c>
      <c r="E936" s="820"/>
      <c r="F936" s="746"/>
      <c r="G936" s="746"/>
      <c r="H936" s="746"/>
      <c r="I936" s="747"/>
      <c r="J936" s="747"/>
      <c r="K936" s="748"/>
      <c r="L936" s="735">
        <f t="shared" si="565"/>
        <v>1</v>
      </c>
      <c r="N936" s="741">
        <f t="shared" si="566"/>
        <v>0</v>
      </c>
      <c r="O936" s="741">
        <f t="shared" si="567"/>
        <v>0</v>
      </c>
    </row>
    <row r="937" spans="1:15" s="298" customFormat="1" ht="17.100000000000001" hidden="1" customHeight="1">
      <c r="A937" s="749" t="e">
        <f t="shared" si="592"/>
        <v>#REF!</v>
      </c>
      <c r="B937" s="730" t="s">
        <v>0</v>
      </c>
      <c r="C937" s="730" t="s">
        <v>887</v>
      </c>
      <c r="D937" s="731" t="s">
        <v>0</v>
      </c>
      <c r="E937" s="819"/>
      <c r="F937" s="732"/>
      <c r="G937" s="732"/>
      <c r="H937" s="732"/>
      <c r="I937" s="733" t="e">
        <f>SUM(I938:I960)</f>
        <v>#REF!</v>
      </c>
      <c r="J937" s="733" t="e">
        <f>SUM(J938:J960)</f>
        <v>#REF!</v>
      </c>
      <c r="K937" s="734" t="e">
        <f>SUM(K938:K960)</f>
        <v>#REF!</v>
      </c>
      <c r="L937" s="735" t="e">
        <f t="shared" si="565"/>
        <v>#REF!</v>
      </c>
      <c r="N937" s="741">
        <f t="shared" si="566"/>
        <v>0</v>
      </c>
      <c r="O937" s="734" t="e">
        <f>SUM(O938:O960)</f>
        <v>#REF!</v>
      </c>
    </row>
    <row r="938" spans="1:15" s="298" customFormat="1" ht="17.100000000000001" hidden="1" customHeight="1">
      <c r="A938" s="736" t="e">
        <f t="shared" si="592"/>
        <v>#REF!</v>
      </c>
      <c r="B938" s="296" t="s">
        <v>888</v>
      </c>
      <c r="C938" s="296" t="s">
        <v>889</v>
      </c>
      <c r="D938" s="297" t="s">
        <v>2</v>
      </c>
      <c r="E938" s="788"/>
      <c r="F938" s="738"/>
      <c r="G938" s="738" t="e">
        <f>#REF!</f>
        <v>#REF!</v>
      </c>
      <c r="H938" s="738" t="e">
        <f>#REF!</f>
        <v>#REF!</v>
      </c>
      <c r="I938" s="739">
        <f t="shared" ref="I938:I958" si="617">E938*F938</f>
        <v>0</v>
      </c>
      <c r="J938" s="739" t="e">
        <f t="shared" ref="J938:J958" si="618">E938*G938</f>
        <v>#REF!</v>
      </c>
      <c r="K938" s="740" t="e">
        <f t="shared" ref="K938:K959" si="619">E938*H938</f>
        <v>#REF!</v>
      </c>
      <c r="L938" s="735" t="e">
        <f t="shared" si="565"/>
        <v>#REF!</v>
      </c>
      <c r="N938" s="741" t="e">
        <f t="shared" si="566"/>
        <v>#REF!</v>
      </c>
      <c r="O938" s="741" t="e">
        <f t="shared" si="567"/>
        <v>#REF!</v>
      </c>
    </row>
    <row r="939" spans="1:15" s="298" customFormat="1" ht="17.100000000000001" hidden="1" customHeight="1">
      <c r="A939" s="736" t="e">
        <f t="shared" si="592"/>
        <v>#REF!</v>
      </c>
      <c r="B939" s="296" t="s">
        <v>574</v>
      </c>
      <c r="C939" s="296" t="s">
        <v>890</v>
      </c>
      <c r="D939" s="297" t="s">
        <v>2</v>
      </c>
      <c r="E939" s="788"/>
      <c r="F939" s="738"/>
      <c r="G939" s="738" t="e">
        <f>#REF!</f>
        <v>#REF!</v>
      </c>
      <c r="H939" s="738" t="e">
        <f>#REF!</f>
        <v>#REF!</v>
      </c>
      <c r="I939" s="739">
        <f t="shared" si="617"/>
        <v>0</v>
      </c>
      <c r="J939" s="739" t="e">
        <f t="shared" si="618"/>
        <v>#REF!</v>
      </c>
      <c r="K939" s="740" t="e">
        <f t="shared" si="619"/>
        <v>#REF!</v>
      </c>
      <c r="L939" s="735" t="e">
        <f t="shared" si="565"/>
        <v>#REF!</v>
      </c>
      <c r="N939" s="741" t="e">
        <f t="shared" si="566"/>
        <v>#REF!</v>
      </c>
      <c r="O939" s="741" t="e">
        <f t="shared" si="567"/>
        <v>#REF!</v>
      </c>
    </row>
    <row r="940" spans="1:15" s="298" customFormat="1" ht="17.100000000000001" hidden="1" customHeight="1">
      <c r="A940" s="736" t="e">
        <f t="shared" si="592"/>
        <v>#REF!</v>
      </c>
      <c r="B940" s="296" t="s">
        <v>891</v>
      </c>
      <c r="C940" s="296" t="s">
        <v>892</v>
      </c>
      <c r="D940" s="297" t="s">
        <v>2</v>
      </c>
      <c r="E940" s="788"/>
      <c r="F940" s="738"/>
      <c r="G940" s="738" t="e">
        <f>#REF!</f>
        <v>#REF!</v>
      </c>
      <c r="H940" s="738" t="e">
        <f>#REF!</f>
        <v>#REF!</v>
      </c>
      <c r="I940" s="739">
        <f t="shared" si="617"/>
        <v>0</v>
      </c>
      <c r="J940" s="739" t="e">
        <f t="shared" si="618"/>
        <v>#REF!</v>
      </c>
      <c r="K940" s="740" t="e">
        <f t="shared" si="619"/>
        <v>#REF!</v>
      </c>
      <c r="L940" s="735" t="e">
        <f t="shared" si="565"/>
        <v>#REF!</v>
      </c>
      <c r="N940" s="741" t="e">
        <f t="shared" si="566"/>
        <v>#REF!</v>
      </c>
      <c r="O940" s="741" t="e">
        <f t="shared" si="567"/>
        <v>#REF!</v>
      </c>
    </row>
    <row r="941" spans="1:15" s="298" customFormat="1" ht="17.100000000000001" hidden="1" customHeight="1">
      <c r="A941" s="736" t="e">
        <f t="shared" si="592"/>
        <v>#REF!</v>
      </c>
      <c r="B941" s="296" t="s">
        <v>1500</v>
      </c>
      <c r="C941" s="296" t="s">
        <v>893</v>
      </c>
      <c r="D941" s="297" t="s">
        <v>2</v>
      </c>
      <c r="E941" s="788"/>
      <c r="F941" s="738"/>
      <c r="G941" s="738"/>
      <c r="H941" s="738" t="e">
        <f>#REF!</f>
        <v>#REF!</v>
      </c>
      <c r="I941" s="739">
        <f t="shared" si="617"/>
        <v>0</v>
      </c>
      <c r="J941" s="739">
        <f t="shared" si="618"/>
        <v>0</v>
      </c>
      <c r="K941" s="740" t="e">
        <f t="shared" si="619"/>
        <v>#REF!</v>
      </c>
      <c r="L941" s="735" t="e">
        <f t="shared" si="565"/>
        <v>#REF!</v>
      </c>
      <c r="N941" s="741" t="e">
        <f t="shared" si="566"/>
        <v>#REF!</v>
      </c>
      <c r="O941" s="741" t="e">
        <f t="shared" si="567"/>
        <v>#REF!</v>
      </c>
    </row>
    <row r="942" spans="1:15" s="298" customFormat="1" ht="17.100000000000001" hidden="1" customHeight="1">
      <c r="A942" s="736" t="e">
        <f t="shared" si="592"/>
        <v>#REF!</v>
      </c>
      <c r="B942" s="296" t="s">
        <v>616</v>
      </c>
      <c r="C942" s="296" t="s">
        <v>894</v>
      </c>
      <c r="D942" s="297" t="s">
        <v>2</v>
      </c>
      <c r="E942" s="788"/>
      <c r="F942" s="738"/>
      <c r="G942" s="738" t="e">
        <f>#REF!</f>
        <v>#REF!</v>
      </c>
      <c r="H942" s="738" t="e">
        <f>#REF!</f>
        <v>#REF!</v>
      </c>
      <c r="I942" s="739">
        <f t="shared" si="617"/>
        <v>0</v>
      </c>
      <c r="J942" s="739" t="e">
        <f t="shared" si="618"/>
        <v>#REF!</v>
      </c>
      <c r="K942" s="740" t="e">
        <f t="shared" si="619"/>
        <v>#REF!</v>
      </c>
      <c r="L942" s="735" t="e">
        <f t="shared" si="565"/>
        <v>#REF!</v>
      </c>
      <c r="N942" s="741" t="e">
        <f t="shared" si="566"/>
        <v>#REF!</v>
      </c>
      <c r="O942" s="741" t="e">
        <f t="shared" si="567"/>
        <v>#REF!</v>
      </c>
    </row>
    <row r="943" spans="1:15" s="298" customFormat="1" ht="17.100000000000001" hidden="1" customHeight="1">
      <c r="A943" s="736" t="e">
        <f t="shared" si="592"/>
        <v>#REF!</v>
      </c>
      <c r="B943" s="296" t="s">
        <v>600</v>
      </c>
      <c r="C943" s="296" t="s">
        <v>865</v>
      </c>
      <c r="D943" s="297" t="s">
        <v>2</v>
      </c>
      <c r="E943" s="788"/>
      <c r="F943" s="738" t="e">
        <f>#REF!</f>
        <v>#REF!</v>
      </c>
      <c r="G943" s="738"/>
      <c r="H943" s="738"/>
      <c r="I943" s="739" t="e">
        <f t="shared" si="617"/>
        <v>#REF!</v>
      </c>
      <c r="J943" s="739">
        <f t="shared" si="618"/>
        <v>0</v>
      </c>
      <c r="K943" s="740">
        <f t="shared" si="619"/>
        <v>0</v>
      </c>
      <c r="L943" s="735" t="e">
        <f t="shared" si="565"/>
        <v>#REF!</v>
      </c>
      <c r="N943" s="741" t="e">
        <f t="shared" si="566"/>
        <v>#REF!</v>
      </c>
      <c r="O943" s="741" t="e">
        <f t="shared" si="567"/>
        <v>#REF!</v>
      </c>
    </row>
    <row r="944" spans="1:15" s="298" customFormat="1" ht="17.100000000000001" hidden="1" customHeight="1">
      <c r="A944" s="736" t="e">
        <f t="shared" si="592"/>
        <v>#REF!</v>
      </c>
      <c r="B944" s="296" t="s">
        <v>1584</v>
      </c>
      <c r="C944" s="296" t="s">
        <v>896</v>
      </c>
      <c r="D944" s="297" t="s">
        <v>2</v>
      </c>
      <c r="E944" s="788"/>
      <c r="F944" s="738" t="e">
        <f>#REF!</f>
        <v>#REF!</v>
      </c>
      <c r="G944" s="738" t="e">
        <f>#REF!</f>
        <v>#REF!</v>
      </c>
      <c r="H944" s="738" t="e">
        <f>#REF!</f>
        <v>#REF!</v>
      </c>
      <c r="I944" s="739" t="e">
        <f t="shared" si="617"/>
        <v>#REF!</v>
      </c>
      <c r="J944" s="739" t="e">
        <f t="shared" si="618"/>
        <v>#REF!</v>
      </c>
      <c r="K944" s="740" t="e">
        <f t="shared" si="619"/>
        <v>#REF!</v>
      </c>
      <c r="L944" s="735" t="e">
        <f t="shared" si="565"/>
        <v>#REF!</v>
      </c>
      <c r="N944" s="741" t="e">
        <f t="shared" si="566"/>
        <v>#REF!</v>
      </c>
      <c r="O944" s="741" t="e">
        <f t="shared" si="567"/>
        <v>#REF!</v>
      </c>
    </row>
    <row r="945" spans="1:15" s="298" customFormat="1" ht="17.100000000000001" hidden="1" customHeight="1">
      <c r="A945" s="736" t="e">
        <f t="shared" si="592"/>
        <v>#REF!</v>
      </c>
      <c r="B945" s="296" t="s">
        <v>84</v>
      </c>
      <c r="C945" s="296" t="s">
        <v>897</v>
      </c>
      <c r="D945" s="297" t="s">
        <v>9</v>
      </c>
      <c r="E945" s="788"/>
      <c r="F945" s="738" t="e">
        <f>#REF!</f>
        <v>#REF!</v>
      </c>
      <c r="G945" s="738" t="e">
        <f>#REF!</f>
        <v>#REF!</v>
      </c>
      <c r="H945" s="738" t="e">
        <f>#REF!</f>
        <v>#REF!</v>
      </c>
      <c r="I945" s="739" t="e">
        <f t="shared" si="617"/>
        <v>#REF!</v>
      </c>
      <c r="J945" s="739" t="e">
        <f t="shared" si="618"/>
        <v>#REF!</v>
      </c>
      <c r="K945" s="740" t="e">
        <f t="shared" si="619"/>
        <v>#REF!</v>
      </c>
      <c r="L945" s="735" t="e">
        <f t="shared" si="565"/>
        <v>#REF!</v>
      </c>
      <c r="N945" s="741" t="e">
        <f t="shared" si="566"/>
        <v>#REF!</v>
      </c>
      <c r="O945" s="741" t="e">
        <f t="shared" si="567"/>
        <v>#REF!</v>
      </c>
    </row>
    <row r="946" spans="1:15" s="298" customFormat="1" ht="17.100000000000001" hidden="1" customHeight="1">
      <c r="A946" s="736" t="e">
        <f t="shared" si="592"/>
        <v>#REF!</v>
      </c>
      <c r="B946" s="296" t="s">
        <v>690</v>
      </c>
      <c r="C946" s="296" t="s">
        <v>898</v>
      </c>
      <c r="D946" s="297" t="s">
        <v>2</v>
      </c>
      <c r="E946" s="788"/>
      <c r="F946" s="738" t="e">
        <f>#REF!</f>
        <v>#REF!</v>
      </c>
      <c r="G946" s="738" t="e">
        <f>#REF!</f>
        <v>#REF!</v>
      </c>
      <c r="H946" s="738" t="e">
        <f>#REF!</f>
        <v>#REF!</v>
      </c>
      <c r="I946" s="739" t="e">
        <f t="shared" si="617"/>
        <v>#REF!</v>
      </c>
      <c r="J946" s="739" t="e">
        <f t="shared" si="618"/>
        <v>#REF!</v>
      </c>
      <c r="K946" s="740" t="e">
        <f t="shared" si="619"/>
        <v>#REF!</v>
      </c>
      <c r="L946" s="735" t="e">
        <f t="shared" si="565"/>
        <v>#REF!</v>
      </c>
      <c r="N946" s="741" t="e">
        <f t="shared" si="566"/>
        <v>#REF!</v>
      </c>
      <c r="O946" s="741" t="e">
        <f t="shared" si="567"/>
        <v>#REF!</v>
      </c>
    </row>
    <row r="947" spans="1:15" s="298" customFormat="1" ht="17.100000000000001" hidden="1" customHeight="1">
      <c r="A947" s="736" t="e">
        <f t="shared" si="592"/>
        <v>#REF!</v>
      </c>
      <c r="B947" s="296" t="s">
        <v>1585</v>
      </c>
      <c r="C947" s="296" t="s">
        <v>899</v>
      </c>
      <c r="D947" s="297" t="s">
        <v>2</v>
      </c>
      <c r="E947" s="788"/>
      <c r="F947" s="738" t="e">
        <f>#REF!</f>
        <v>#REF!</v>
      </c>
      <c r="G947" s="738" t="e">
        <f>#REF!</f>
        <v>#REF!</v>
      </c>
      <c r="H947" s="738" t="e">
        <f>#REF!</f>
        <v>#REF!</v>
      </c>
      <c r="I947" s="739" t="e">
        <f t="shared" si="617"/>
        <v>#REF!</v>
      </c>
      <c r="J947" s="739" t="e">
        <f t="shared" si="618"/>
        <v>#REF!</v>
      </c>
      <c r="K947" s="740" t="e">
        <f t="shared" si="619"/>
        <v>#REF!</v>
      </c>
      <c r="L947" s="735" t="e">
        <f t="shared" si="565"/>
        <v>#REF!</v>
      </c>
      <c r="N947" s="741" t="e">
        <f t="shared" si="566"/>
        <v>#REF!</v>
      </c>
      <c r="O947" s="741" t="e">
        <f t="shared" si="567"/>
        <v>#REF!</v>
      </c>
    </row>
    <row r="948" spans="1:15" s="298" customFormat="1" ht="17.100000000000001" hidden="1" customHeight="1">
      <c r="A948" s="736" t="e">
        <f t="shared" si="592"/>
        <v>#REF!</v>
      </c>
      <c r="B948" s="296" t="s">
        <v>84</v>
      </c>
      <c r="C948" s="296" t="s">
        <v>85</v>
      </c>
      <c r="D948" s="297" t="s">
        <v>9</v>
      </c>
      <c r="E948" s="788"/>
      <c r="F948" s="738" t="e">
        <f>#REF!</f>
        <v>#REF!</v>
      </c>
      <c r="G948" s="738" t="e">
        <f>#REF!</f>
        <v>#REF!</v>
      </c>
      <c r="H948" s="738" t="e">
        <f>#REF!</f>
        <v>#REF!</v>
      </c>
      <c r="I948" s="739" t="e">
        <f t="shared" si="617"/>
        <v>#REF!</v>
      </c>
      <c r="J948" s="739" t="e">
        <f t="shared" si="618"/>
        <v>#REF!</v>
      </c>
      <c r="K948" s="740" t="e">
        <f t="shared" si="619"/>
        <v>#REF!</v>
      </c>
      <c r="L948" s="735" t="e">
        <f t="shared" si="565"/>
        <v>#REF!</v>
      </c>
      <c r="N948" s="741" t="e">
        <f t="shared" si="566"/>
        <v>#REF!</v>
      </c>
      <c r="O948" s="741" t="e">
        <f t="shared" si="567"/>
        <v>#REF!</v>
      </c>
    </row>
    <row r="949" spans="1:15" s="298" customFormat="1" ht="17.100000000000001" hidden="1" customHeight="1">
      <c r="A949" s="736" t="e">
        <f t="shared" si="592"/>
        <v>#REF!</v>
      </c>
      <c r="B949" s="296" t="s">
        <v>694</v>
      </c>
      <c r="C949" s="296" t="s">
        <v>900</v>
      </c>
      <c r="D949" s="297" t="s">
        <v>2</v>
      </c>
      <c r="E949" s="788"/>
      <c r="F949" s="738"/>
      <c r="G949" s="738" t="e">
        <f>#REF!</f>
        <v>#REF!</v>
      </c>
      <c r="H949" s="738"/>
      <c r="I949" s="739">
        <f t="shared" si="617"/>
        <v>0</v>
      </c>
      <c r="J949" s="739" t="e">
        <f t="shared" si="618"/>
        <v>#REF!</v>
      </c>
      <c r="K949" s="740">
        <f t="shared" si="619"/>
        <v>0</v>
      </c>
      <c r="L949" s="735" t="e">
        <f t="shared" si="565"/>
        <v>#REF!</v>
      </c>
      <c r="N949" s="741" t="e">
        <f t="shared" si="566"/>
        <v>#REF!</v>
      </c>
      <c r="O949" s="741" t="e">
        <f t="shared" si="567"/>
        <v>#REF!</v>
      </c>
    </row>
    <row r="950" spans="1:15" s="298" customFormat="1" ht="17.100000000000001" hidden="1" customHeight="1">
      <c r="A950" s="736" t="e">
        <f t="shared" si="592"/>
        <v>#REF!</v>
      </c>
      <c r="B950" s="296" t="s">
        <v>550</v>
      </c>
      <c r="C950" s="296" t="s">
        <v>901</v>
      </c>
      <c r="D950" s="297" t="s">
        <v>2</v>
      </c>
      <c r="E950" s="788"/>
      <c r="F950" s="738"/>
      <c r="G950" s="738" t="e">
        <f>#REF!</f>
        <v>#REF!</v>
      </c>
      <c r="H950" s="738" t="e">
        <f>#REF!</f>
        <v>#REF!</v>
      </c>
      <c r="I950" s="739">
        <f t="shared" si="617"/>
        <v>0</v>
      </c>
      <c r="J950" s="739" t="e">
        <f t="shared" si="618"/>
        <v>#REF!</v>
      </c>
      <c r="K950" s="740" t="e">
        <f t="shared" si="619"/>
        <v>#REF!</v>
      </c>
      <c r="L950" s="735" t="e">
        <f t="shared" si="565"/>
        <v>#REF!</v>
      </c>
      <c r="N950" s="741" t="e">
        <f t="shared" si="566"/>
        <v>#REF!</v>
      </c>
      <c r="O950" s="741" t="e">
        <f t="shared" si="567"/>
        <v>#REF!</v>
      </c>
    </row>
    <row r="951" spans="1:15" s="298" customFormat="1" ht="17.100000000000001" hidden="1" customHeight="1">
      <c r="A951" s="736" t="e">
        <f t="shared" si="592"/>
        <v>#REF!</v>
      </c>
      <c r="B951" s="296" t="s">
        <v>1585</v>
      </c>
      <c r="C951" s="296" t="s">
        <v>902</v>
      </c>
      <c r="D951" s="297" t="s">
        <v>2</v>
      </c>
      <c r="E951" s="788"/>
      <c r="F951" s="738" t="e">
        <f>#REF!</f>
        <v>#REF!</v>
      </c>
      <c r="G951" s="738" t="e">
        <f>#REF!</f>
        <v>#REF!</v>
      </c>
      <c r="H951" s="738" t="e">
        <f>#REF!</f>
        <v>#REF!</v>
      </c>
      <c r="I951" s="739" t="e">
        <f t="shared" si="617"/>
        <v>#REF!</v>
      </c>
      <c r="J951" s="739" t="e">
        <f t="shared" si="618"/>
        <v>#REF!</v>
      </c>
      <c r="K951" s="740" t="e">
        <f t="shared" si="619"/>
        <v>#REF!</v>
      </c>
      <c r="L951" s="735" t="e">
        <f t="shared" si="565"/>
        <v>#REF!</v>
      </c>
      <c r="N951" s="741" t="e">
        <f t="shared" si="566"/>
        <v>#REF!</v>
      </c>
      <c r="O951" s="741" t="e">
        <f t="shared" si="567"/>
        <v>#REF!</v>
      </c>
    </row>
    <row r="952" spans="1:15" s="298" customFormat="1" ht="17.100000000000001" hidden="1" customHeight="1">
      <c r="A952" s="736" t="e">
        <f t="shared" si="592"/>
        <v>#REF!</v>
      </c>
      <c r="B952" s="296" t="s">
        <v>84</v>
      </c>
      <c r="C952" s="296" t="s">
        <v>85</v>
      </c>
      <c r="D952" s="297" t="s">
        <v>9</v>
      </c>
      <c r="E952" s="788"/>
      <c r="F952" s="738" t="e">
        <f>#REF!</f>
        <v>#REF!</v>
      </c>
      <c r="G952" s="738" t="e">
        <f>#REF!</f>
        <v>#REF!</v>
      </c>
      <c r="H952" s="738" t="e">
        <f>#REF!</f>
        <v>#REF!</v>
      </c>
      <c r="I952" s="739" t="e">
        <f t="shared" si="617"/>
        <v>#REF!</v>
      </c>
      <c r="J952" s="739" t="e">
        <f t="shared" si="618"/>
        <v>#REF!</v>
      </c>
      <c r="K952" s="740" t="e">
        <f t="shared" si="619"/>
        <v>#REF!</v>
      </c>
      <c r="L952" s="735" t="e">
        <f t="shared" si="565"/>
        <v>#REF!</v>
      </c>
      <c r="N952" s="741" t="e">
        <f t="shared" si="566"/>
        <v>#REF!</v>
      </c>
      <c r="O952" s="741" t="e">
        <f t="shared" si="567"/>
        <v>#REF!</v>
      </c>
    </row>
    <row r="953" spans="1:15" s="298" customFormat="1" ht="17.100000000000001" hidden="1" customHeight="1">
      <c r="A953" s="736" t="e">
        <f t="shared" si="592"/>
        <v>#REF!</v>
      </c>
      <c r="B953" s="296" t="s">
        <v>119</v>
      </c>
      <c r="C953" s="296" t="s">
        <v>903</v>
      </c>
      <c r="D953" s="297" t="s">
        <v>2</v>
      </c>
      <c r="E953" s="788"/>
      <c r="F953" s="738"/>
      <c r="G953" s="738" t="e">
        <f>#REF!</f>
        <v>#REF!</v>
      </c>
      <c r="H953" s="738"/>
      <c r="I953" s="739">
        <f t="shared" si="617"/>
        <v>0</v>
      </c>
      <c r="J953" s="739" t="e">
        <f t="shared" si="618"/>
        <v>#REF!</v>
      </c>
      <c r="K953" s="740">
        <f t="shared" si="619"/>
        <v>0</v>
      </c>
      <c r="L953" s="735" t="e">
        <f t="shared" si="565"/>
        <v>#REF!</v>
      </c>
      <c r="N953" s="741" t="e">
        <f t="shared" si="566"/>
        <v>#REF!</v>
      </c>
      <c r="O953" s="741" t="e">
        <f t="shared" si="567"/>
        <v>#REF!</v>
      </c>
    </row>
    <row r="954" spans="1:15" s="298" customFormat="1" ht="17.100000000000001" hidden="1" customHeight="1">
      <c r="A954" s="736" t="e">
        <f t="shared" si="592"/>
        <v>#REF!</v>
      </c>
      <c r="B954" s="296" t="s">
        <v>904</v>
      </c>
      <c r="C954" s="296" t="s">
        <v>905</v>
      </c>
      <c r="D954" s="297" t="s">
        <v>2</v>
      </c>
      <c r="E954" s="788"/>
      <c r="F954" s="738" t="e">
        <f>#REF!</f>
        <v>#REF!</v>
      </c>
      <c r="G954" s="738" t="e">
        <f>#REF!</f>
        <v>#REF!</v>
      </c>
      <c r="H954" s="738"/>
      <c r="I954" s="739" t="e">
        <f t="shared" si="617"/>
        <v>#REF!</v>
      </c>
      <c r="J954" s="739" t="e">
        <f t="shared" si="618"/>
        <v>#REF!</v>
      </c>
      <c r="K954" s="740">
        <f t="shared" si="619"/>
        <v>0</v>
      </c>
      <c r="L954" s="735" t="e">
        <f t="shared" si="565"/>
        <v>#REF!</v>
      </c>
      <c r="N954" s="741" t="e">
        <f t="shared" si="566"/>
        <v>#REF!</v>
      </c>
      <c r="O954" s="741" t="e">
        <f t="shared" si="567"/>
        <v>#REF!</v>
      </c>
    </row>
    <row r="955" spans="1:15" s="298" customFormat="1" ht="17.100000000000001" hidden="1" customHeight="1">
      <c r="A955" s="736" t="e">
        <f t="shared" si="592"/>
        <v>#REF!</v>
      </c>
      <c r="B955" s="296" t="s">
        <v>1586</v>
      </c>
      <c r="C955" s="296" t="s">
        <v>906</v>
      </c>
      <c r="D955" s="297" t="s">
        <v>907</v>
      </c>
      <c r="E955" s="788"/>
      <c r="F955" s="738" t="e">
        <f>#REF!</f>
        <v>#REF!</v>
      </c>
      <c r="G955" s="738" t="e">
        <f>#REF!</f>
        <v>#REF!</v>
      </c>
      <c r="H955" s="738"/>
      <c r="I955" s="739" t="e">
        <f t="shared" si="617"/>
        <v>#REF!</v>
      </c>
      <c r="J955" s="739" t="e">
        <f t="shared" si="618"/>
        <v>#REF!</v>
      </c>
      <c r="K955" s="740">
        <f t="shared" si="619"/>
        <v>0</v>
      </c>
      <c r="L955" s="735" t="e">
        <f t="shared" si="565"/>
        <v>#REF!</v>
      </c>
      <c r="N955" s="741" t="e">
        <f t="shared" si="566"/>
        <v>#REF!</v>
      </c>
      <c r="O955" s="741" t="e">
        <f t="shared" si="567"/>
        <v>#REF!</v>
      </c>
    </row>
    <row r="956" spans="1:15" s="298" customFormat="1" ht="17.100000000000001" hidden="1" customHeight="1">
      <c r="A956" s="736" t="e">
        <f t="shared" si="592"/>
        <v>#REF!</v>
      </c>
      <c r="B956" s="296" t="s">
        <v>1587</v>
      </c>
      <c r="C956" s="296" t="s">
        <v>908</v>
      </c>
      <c r="D956" s="297" t="s">
        <v>907</v>
      </c>
      <c r="E956" s="788"/>
      <c r="F956" s="738" t="e">
        <f>#REF!</f>
        <v>#REF!</v>
      </c>
      <c r="G956" s="738" t="e">
        <f>#REF!</f>
        <v>#REF!</v>
      </c>
      <c r="H956" s="738" t="e">
        <f>#REF!</f>
        <v>#REF!</v>
      </c>
      <c r="I956" s="739" t="e">
        <f t="shared" si="617"/>
        <v>#REF!</v>
      </c>
      <c r="J956" s="739" t="e">
        <f t="shared" si="618"/>
        <v>#REF!</v>
      </c>
      <c r="K956" s="740" t="e">
        <f t="shared" si="619"/>
        <v>#REF!</v>
      </c>
      <c r="L956" s="735" t="e">
        <f t="shared" si="565"/>
        <v>#REF!</v>
      </c>
      <c r="N956" s="741" t="e">
        <f t="shared" si="566"/>
        <v>#REF!</v>
      </c>
      <c r="O956" s="741" t="e">
        <f t="shared" si="567"/>
        <v>#REF!</v>
      </c>
    </row>
    <row r="957" spans="1:15" s="298" customFormat="1" ht="17.100000000000001" hidden="1" customHeight="1">
      <c r="A957" s="736" t="e">
        <f t="shared" si="592"/>
        <v>#REF!</v>
      </c>
      <c r="B957" s="296" t="s">
        <v>1588</v>
      </c>
      <c r="C957" s="296" t="s">
        <v>908</v>
      </c>
      <c r="D957" s="297" t="s">
        <v>907</v>
      </c>
      <c r="E957" s="788"/>
      <c r="F957" s="738" t="e">
        <f>#REF!</f>
        <v>#REF!</v>
      </c>
      <c r="G957" s="738" t="e">
        <f>#REF!</f>
        <v>#REF!</v>
      </c>
      <c r="H957" s="738" t="e">
        <f>#REF!</f>
        <v>#REF!</v>
      </c>
      <c r="I957" s="739" t="e">
        <f t="shared" si="617"/>
        <v>#REF!</v>
      </c>
      <c r="J957" s="739" t="e">
        <f t="shared" si="618"/>
        <v>#REF!</v>
      </c>
      <c r="K957" s="740" t="e">
        <f t="shared" si="619"/>
        <v>#REF!</v>
      </c>
      <c r="L957" s="735" t="e">
        <f t="shared" si="565"/>
        <v>#REF!</v>
      </c>
      <c r="N957" s="741" t="e">
        <f t="shared" si="566"/>
        <v>#REF!</v>
      </c>
      <c r="O957" s="741" t="e">
        <f t="shared" si="567"/>
        <v>#REF!</v>
      </c>
    </row>
    <row r="958" spans="1:15" s="298" customFormat="1" ht="28.5" hidden="1">
      <c r="A958" s="736" t="e">
        <f t="shared" si="592"/>
        <v>#REF!</v>
      </c>
      <c r="B958" s="296" t="s">
        <v>909</v>
      </c>
      <c r="C958" s="743" t="s">
        <v>1021</v>
      </c>
      <c r="D958" s="297" t="s">
        <v>9</v>
      </c>
      <c r="E958" s="788"/>
      <c r="F958" s="738" t="e">
        <f>#REF!</f>
        <v>#REF!</v>
      </c>
      <c r="G958" s="738" t="e">
        <f>#REF!</f>
        <v>#REF!</v>
      </c>
      <c r="H958" s="738"/>
      <c r="I958" s="739" t="e">
        <f t="shared" si="617"/>
        <v>#REF!</v>
      </c>
      <c r="J958" s="739" t="e">
        <f t="shared" si="618"/>
        <v>#REF!</v>
      </c>
      <c r="K958" s="740">
        <f t="shared" si="619"/>
        <v>0</v>
      </c>
      <c r="L958" s="735" t="e">
        <f t="shared" si="565"/>
        <v>#REF!</v>
      </c>
      <c r="N958" s="741" t="e">
        <f t="shared" si="566"/>
        <v>#REF!</v>
      </c>
      <c r="O958" s="741" t="e">
        <f t="shared" si="567"/>
        <v>#REF!</v>
      </c>
    </row>
    <row r="959" spans="1:15" s="298" customFormat="1" ht="17.100000000000001" hidden="1" customHeight="1">
      <c r="A959" s="736" t="e">
        <f t="shared" si="592"/>
        <v>#REF!</v>
      </c>
      <c r="B959" s="296" t="s">
        <v>1589</v>
      </c>
      <c r="C959" s="296" t="s">
        <v>910</v>
      </c>
      <c r="D959" s="297" t="s">
        <v>2</v>
      </c>
      <c r="E959" s="788"/>
      <c r="F959" s="738" t="e">
        <f>#REF!</f>
        <v>#REF!</v>
      </c>
      <c r="G959" s="738" t="e">
        <f>#REF!</f>
        <v>#REF!</v>
      </c>
      <c r="H959" s="738" t="e">
        <f>#REF!</f>
        <v>#REF!</v>
      </c>
      <c r="I959" s="739" t="e">
        <f>E959*F959</f>
        <v>#REF!</v>
      </c>
      <c r="J959" s="739" t="e">
        <f>E959*G959</f>
        <v>#REF!</v>
      </c>
      <c r="K959" s="740" t="e">
        <f t="shared" si="619"/>
        <v>#REF!</v>
      </c>
      <c r="L959" s="735" t="e">
        <f t="shared" si="565"/>
        <v>#REF!</v>
      </c>
      <c r="N959" s="741" t="e">
        <f t="shared" si="566"/>
        <v>#REF!</v>
      </c>
      <c r="O959" s="741" t="e">
        <f t="shared" si="567"/>
        <v>#REF!</v>
      </c>
    </row>
    <row r="960" spans="1:15" s="298" customFormat="1" ht="17.100000000000001" hidden="1" customHeight="1">
      <c r="A960" s="1084" t="e">
        <f t="shared" si="592"/>
        <v>#REF!</v>
      </c>
      <c r="B960" s="744"/>
      <c r="C960" s="744" t="s">
        <v>0</v>
      </c>
      <c r="D960" s="745" t="s">
        <v>0</v>
      </c>
      <c r="E960" s="820"/>
      <c r="F960" s="746"/>
      <c r="G960" s="746"/>
      <c r="H960" s="746"/>
      <c r="I960" s="747"/>
      <c r="J960" s="747"/>
      <c r="K960" s="748"/>
      <c r="L960" s="735">
        <f t="shared" si="565"/>
        <v>0</v>
      </c>
      <c r="N960" s="741">
        <f t="shared" si="566"/>
        <v>0</v>
      </c>
      <c r="O960" s="741">
        <f>N960*E960</f>
        <v>0</v>
      </c>
    </row>
    <row r="961" spans="1:15" s="298" customFormat="1" ht="17.100000000000001" customHeight="1">
      <c r="A961" s="837"/>
      <c r="B961" s="730" t="s">
        <v>0</v>
      </c>
      <c r="C961" s="730" t="s">
        <v>911</v>
      </c>
      <c r="D961" s="731" t="s">
        <v>0</v>
      </c>
      <c r="E961" s="1065" t="e">
        <f>IF(A960=COUNT(E7:E959),"ok!","no")</f>
        <v>#REF!</v>
      </c>
      <c r="F961" s="732"/>
      <c r="G961" s="732"/>
      <c r="H961" s="732"/>
      <c r="I961" s="733" t="e">
        <f>SUM(I6:I960)/2</f>
        <v>#REF!</v>
      </c>
      <c r="J961" s="733" t="e">
        <f>SUM(J6:J960)/2</f>
        <v>#REF!</v>
      </c>
      <c r="K961" s="734" t="e">
        <f>SUM(K6:K960)/2</f>
        <v>#REF!</v>
      </c>
      <c r="L961" s="735" t="e">
        <f t="shared" si="565"/>
        <v>#REF!</v>
      </c>
      <c r="N961" s="741">
        <f t="shared" si="566"/>
        <v>0</v>
      </c>
      <c r="O961" s="734" t="e">
        <f>SUM(O6:O960)/2</f>
        <v>#REF!</v>
      </c>
    </row>
    <row r="962" spans="1:15" s="298" customFormat="1" ht="17.100000000000001" customHeight="1" thickBot="1">
      <c r="A962" s="750"/>
      <c r="B962" s="751"/>
      <c r="C962" s="751"/>
      <c r="D962" s="752"/>
      <c r="E962" s="822"/>
      <c r="F962" s="753"/>
      <c r="G962" s="753"/>
      <c r="H962" s="753"/>
      <c r="I962" s="754"/>
      <c r="J962" s="754"/>
      <c r="K962" s="755"/>
      <c r="L962" s="735">
        <f>L5</f>
        <v>1</v>
      </c>
      <c r="N962" s="741">
        <f t="shared" si="566"/>
        <v>0</v>
      </c>
      <c r="O962" s="741">
        <f t="shared" si="567"/>
        <v>0</v>
      </c>
    </row>
    <row r="964" spans="1:15">
      <c r="C964" s="971"/>
    </row>
  </sheetData>
  <autoFilter ref="A5:L962" xr:uid="{00000000-0009-0000-0000-0000FD000000}">
    <filterColumn colId="5" showButton="0"/>
    <filterColumn colId="6" showButton="0"/>
    <filterColumn colId="8" showButton="0"/>
    <filterColumn colId="9" showButton="0"/>
    <filterColumn colId="11">
      <customFilters>
        <customFilter operator="notEqual" val=" "/>
      </customFilters>
    </filterColumn>
  </autoFilter>
  <mergeCells count="10">
    <mergeCell ref="A1:K1"/>
    <mergeCell ref="A2:K2"/>
    <mergeCell ref="A3:K3"/>
    <mergeCell ref="A5:A6"/>
    <mergeCell ref="B5:B6"/>
    <mergeCell ref="C5:C6"/>
    <mergeCell ref="D5:D6"/>
    <mergeCell ref="E5:E6"/>
    <mergeCell ref="F5:H5"/>
    <mergeCell ref="I5:K5"/>
  </mergeCells>
  <pageMargins left="0.24" right="0.2" top="0.68" bottom="0.4" header="0.5" footer="0.2"/>
  <pageSetup paperSize="9" orientation="landscape" r:id="rId1"/>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0783C-F3CA-46F9-BB38-AE8381A9C6B9}">
  <dimension ref="A1"/>
  <sheetViews>
    <sheetView workbookViewId="0"/>
  </sheetViews>
  <sheetFormatPr defaultRowHeight="15"/>
  <sheetData/>
  <pageMargins left="0.7" right="0.7" top="0.75" bottom="0.75" header="0.3" footer="0.3"/>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D5F25-5992-4CA3-B7BC-924231658AFB}">
  <dimension ref="A1"/>
  <sheetViews>
    <sheetView workbookViewId="0"/>
  </sheetViews>
  <sheetFormatPr defaultRowHeight="15"/>
  <sheetData/>
  <pageMargins left="0.7" right="0.7" top="0.75" bottom="0.75" header="0.3" footer="0.3"/>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76CA1-868F-4E9B-BA5D-D9E4C535F4E6}">
  <dimension ref="A1"/>
  <sheetViews>
    <sheetView workbookViewId="0"/>
  </sheetViews>
  <sheetFormatPr defaultRowHeight="15"/>
  <sheetData/>
  <pageMargins left="0.7" right="0.7" top="0.75" bottom="0.75" header="0.3" footer="0.3"/>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0D1D7-2EB2-4E5E-A084-FFC82FCFA547}">
  <dimension ref="A1"/>
  <sheetViews>
    <sheetView workbookViewId="0"/>
  </sheetViews>
  <sheetFormatPr defaultRowHeight="18.75"/>
  <sheetData/>
  <pageMargins left="0.7" right="0.7" top="0.75" bottom="0.75" header="0.3" footer="0.3"/>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0BADB-8449-49B1-B48B-8180B0626CA2}">
  <dimension ref="A1:K964"/>
  <sheetViews>
    <sheetView tabSelected="1" zoomScale="115" zoomScaleNormal="115" workbookViewId="0">
      <pane ySplit="6" topLeftCell="A335" activePane="bottomLeft" state="frozen"/>
      <selection pane="bottomLeft" activeCell="A3" sqref="A3:K3"/>
    </sheetView>
  </sheetViews>
  <sheetFormatPr defaultRowHeight="12.75"/>
  <cols>
    <col min="1" max="1" width="6.75" style="1260" bestFit="1" customWidth="1"/>
    <col min="2" max="2" width="41.75" style="1234" customWidth="1"/>
    <col min="3" max="3" width="8.75" style="1261" customWidth="1"/>
    <col min="4" max="4" width="7.5" style="1262" customWidth="1"/>
    <col min="5" max="5" width="8.875" style="1261" customWidth="1"/>
    <col min="6" max="6" width="7.875" style="1262" hidden="1" customWidth="1"/>
    <col min="7" max="7" width="37.5" style="1234" customWidth="1"/>
    <col min="8" max="8" width="9.625" style="1263" customWidth="1"/>
    <col min="9" max="9" width="10.375" style="1262" customWidth="1"/>
    <col min="10" max="10" width="9" style="1263"/>
    <col min="11" max="11" width="11.875" style="1262" customWidth="1"/>
    <col min="12" max="212" width="9" style="1234"/>
    <col min="213" max="213" width="6.75" style="1234" bestFit="1" customWidth="1"/>
    <col min="214" max="214" width="46.375" style="1234" customWidth="1"/>
    <col min="215" max="215" width="8.75" style="1234" customWidth="1"/>
    <col min="216" max="216" width="7.5" style="1234" customWidth="1"/>
    <col min="217" max="217" width="8.875" style="1234" customWidth="1"/>
    <col min="218" max="218" width="7.875" style="1234" bestFit="1" customWidth="1"/>
    <col min="219" max="219" width="9" style="1234"/>
    <col min="220" max="220" width="12.75" style="1234" customWidth="1"/>
    <col min="221" max="223" width="9" style="1234"/>
    <col min="224" max="224" width="21.75" style="1234" customWidth="1"/>
    <col min="225" max="225" width="9" style="1234"/>
    <col min="226" max="226" width="16.875" style="1234" customWidth="1"/>
    <col min="227" max="229" width="9" style="1234"/>
    <col min="230" max="230" width="14.375" style="1234" customWidth="1"/>
    <col min="231" max="231" width="21.75" style="1234" customWidth="1"/>
    <col min="232" max="468" width="9" style="1234"/>
    <col min="469" max="469" width="6.75" style="1234" bestFit="1" customWidth="1"/>
    <col min="470" max="470" width="46.375" style="1234" customWidth="1"/>
    <col min="471" max="471" width="8.75" style="1234" customWidth="1"/>
    <col min="472" max="472" width="7.5" style="1234" customWidth="1"/>
    <col min="473" max="473" width="8.875" style="1234" customWidth="1"/>
    <col min="474" max="474" width="7.875" style="1234" bestFit="1" customWidth="1"/>
    <col min="475" max="475" width="9" style="1234"/>
    <col min="476" max="476" width="12.75" style="1234" customWidth="1"/>
    <col min="477" max="479" width="9" style="1234"/>
    <col min="480" max="480" width="21.75" style="1234" customWidth="1"/>
    <col min="481" max="481" width="9" style="1234"/>
    <col min="482" max="482" width="16.875" style="1234" customWidth="1"/>
    <col min="483" max="485" width="9" style="1234"/>
    <col min="486" max="486" width="14.375" style="1234" customWidth="1"/>
    <col min="487" max="487" width="21.75" style="1234" customWidth="1"/>
    <col min="488" max="724" width="9" style="1234"/>
    <col min="725" max="725" width="6.75" style="1234" bestFit="1" customWidth="1"/>
    <col min="726" max="726" width="46.375" style="1234" customWidth="1"/>
    <col min="727" max="727" width="8.75" style="1234" customWidth="1"/>
    <col min="728" max="728" width="7.5" style="1234" customWidth="1"/>
    <col min="729" max="729" width="8.875" style="1234" customWidth="1"/>
    <col min="730" max="730" width="7.875" style="1234" bestFit="1" customWidth="1"/>
    <col min="731" max="731" width="9" style="1234"/>
    <col min="732" max="732" width="12.75" style="1234" customWidth="1"/>
    <col min="733" max="735" width="9" style="1234"/>
    <col min="736" max="736" width="21.75" style="1234" customWidth="1"/>
    <col min="737" max="737" width="9" style="1234"/>
    <col min="738" max="738" width="16.875" style="1234" customWidth="1"/>
    <col min="739" max="741" width="9" style="1234"/>
    <col min="742" max="742" width="14.375" style="1234" customWidth="1"/>
    <col min="743" max="743" width="21.75" style="1234" customWidth="1"/>
    <col min="744" max="980" width="9" style="1234"/>
    <col min="981" max="981" width="6.75" style="1234" bestFit="1" customWidth="1"/>
    <col min="982" max="982" width="46.375" style="1234" customWidth="1"/>
    <col min="983" max="983" width="8.75" style="1234" customWidth="1"/>
    <col min="984" max="984" width="7.5" style="1234" customWidth="1"/>
    <col min="985" max="985" width="8.875" style="1234" customWidth="1"/>
    <col min="986" max="986" width="7.875" style="1234" bestFit="1" customWidth="1"/>
    <col min="987" max="987" width="9" style="1234"/>
    <col min="988" max="988" width="12.75" style="1234" customWidth="1"/>
    <col min="989" max="991" width="9" style="1234"/>
    <col min="992" max="992" width="21.75" style="1234" customWidth="1"/>
    <col min="993" max="993" width="9" style="1234"/>
    <col min="994" max="994" width="16.875" style="1234" customWidth="1"/>
    <col min="995" max="997" width="9" style="1234"/>
    <col min="998" max="998" width="14.375" style="1234" customWidth="1"/>
    <col min="999" max="999" width="21.75" style="1234" customWidth="1"/>
    <col min="1000" max="1236" width="9" style="1234"/>
    <col min="1237" max="1237" width="6.75" style="1234" bestFit="1" customWidth="1"/>
    <col min="1238" max="1238" width="46.375" style="1234" customWidth="1"/>
    <col min="1239" max="1239" width="8.75" style="1234" customWidth="1"/>
    <col min="1240" max="1240" width="7.5" style="1234" customWidth="1"/>
    <col min="1241" max="1241" width="8.875" style="1234" customWidth="1"/>
    <col min="1242" max="1242" width="7.875" style="1234" bestFit="1" customWidth="1"/>
    <col min="1243" max="1243" width="9" style="1234"/>
    <col min="1244" max="1244" width="12.75" style="1234" customWidth="1"/>
    <col min="1245" max="1247" width="9" style="1234"/>
    <col min="1248" max="1248" width="21.75" style="1234" customWidth="1"/>
    <col min="1249" max="1249" width="9" style="1234"/>
    <col min="1250" max="1250" width="16.875" style="1234" customWidth="1"/>
    <col min="1251" max="1253" width="9" style="1234"/>
    <col min="1254" max="1254" width="14.375" style="1234" customWidth="1"/>
    <col min="1255" max="1255" width="21.75" style="1234" customWidth="1"/>
    <col min="1256" max="1492" width="9" style="1234"/>
    <col min="1493" max="1493" width="6.75" style="1234" bestFit="1" customWidth="1"/>
    <col min="1494" max="1494" width="46.375" style="1234" customWidth="1"/>
    <col min="1495" max="1495" width="8.75" style="1234" customWidth="1"/>
    <col min="1496" max="1496" width="7.5" style="1234" customWidth="1"/>
    <col min="1497" max="1497" width="8.875" style="1234" customWidth="1"/>
    <col min="1498" max="1498" width="7.875" style="1234" bestFit="1" customWidth="1"/>
    <col min="1499" max="1499" width="9" style="1234"/>
    <col min="1500" max="1500" width="12.75" style="1234" customWidth="1"/>
    <col min="1501" max="1503" width="9" style="1234"/>
    <col min="1504" max="1504" width="21.75" style="1234" customWidth="1"/>
    <col min="1505" max="1505" width="9" style="1234"/>
    <col min="1506" max="1506" width="16.875" style="1234" customWidth="1"/>
    <col min="1507" max="1509" width="9" style="1234"/>
    <col min="1510" max="1510" width="14.375" style="1234" customWidth="1"/>
    <col min="1511" max="1511" width="21.75" style="1234" customWidth="1"/>
    <col min="1512" max="1748" width="9" style="1234"/>
    <col min="1749" max="1749" width="6.75" style="1234" bestFit="1" customWidth="1"/>
    <col min="1750" max="1750" width="46.375" style="1234" customWidth="1"/>
    <col min="1751" max="1751" width="8.75" style="1234" customWidth="1"/>
    <col min="1752" max="1752" width="7.5" style="1234" customWidth="1"/>
    <col min="1753" max="1753" width="8.875" style="1234" customWidth="1"/>
    <col min="1754" max="1754" width="7.875" style="1234" bestFit="1" customWidth="1"/>
    <col min="1755" max="1755" width="9" style="1234"/>
    <col min="1756" max="1756" width="12.75" style="1234" customWidth="1"/>
    <col min="1757" max="1759" width="9" style="1234"/>
    <col min="1760" max="1760" width="21.75" style="1234" customWidth="1"/>
    <col min="1761" max="1761" width="9" style="1234"/>
    <col min="1762" max="1762" width="16.875" style="1234" customWidth="1"/>
    <col min="1763" max="1765" width="9" style="1234"/>
    <col min="1766" max="1766" width="14.375" style="1234" customWidth="1"/>
    <col min="1767" max="1767" width="21.75" style="1234" customWidth="1"/>
    <col min="1768" max="2004" width="9" style="1234"/>
    <col min="2005" max="2005" width="6.75" style="1234" bestFit="1" customWidth="1"/>
    <col min="2006" max="2006" width="46.375" style="1234" customWidth="1"/>
    <col min="2007" max="2007" width="8.75" style="1234" customWidth="1"/>
    <col min="2008" max="2008" width="7.5" style="1234" customWidth="1"/>
    <col min="2009" max="2009" width="8.875" style="1234" customWidth="1"/>
    <col min="2010" max="2010" width="7.875" style="1234" bestFit="1" customWidth="1"/>
    <col min="2011" max="2011" width="9" style="1234"/>
    <col min="2012" max="2012" width="12.75" style="1234" customWidth="1"/>
    <col min="2013" max="2015" width="9" style="1234"/>
    <col min="2016" max="2016" width="21.75" style="1234" customWidth="1"/>
    <col min="2017" max="2017" width="9" style="1234"/>
    <col min="2018" max="2018" width="16.875" style="1234" customWidth="1"/>
    <col min="2019" max="2021" width="9" style="1234"/>
    <col min="2022" max="2022" width="14.375" style="1234" customWidth="1"/>
    <col min="2023" max="2023" width="21.75" style="1234" customWidth="1"/>
    <col min="2024" max="2260" width="9" style="1234"/>
    <col min="2261" max="2261" width="6.75" style="1234" bestFit="1" customWidth="1"/>
    <col min="2262" max="2262" width="46.375" style="1234" customWidth="1"/>
    <col min="2263" max="2263" width="8.75" style="1234" customWidth="1"/>
    <col min="2264" max="2264" width="7.5" style="1234" customWidth="1"/>
    <col min="2265" max="2265" width="8.875" style="1234" customWidth="1"/>
    <col min="2266" max="2266" width="7.875" style="1234" bestFit="1" customWidth="1"/>
    <col min="2267" max="2267" width="9" style="1234"/>
    <col min="2268" max="2268" width="12.75" style="1234" customWidth="1"/>
    <col min="2269" max="2271" width="9" style="1234"/>
    <col min="2272" max="2272" width="21.75" style="1234" customWidth="1"/>
    <col min="2273" max="2273" width="9" style="1234"/>
    <col min="2274" max="2274" width="16.875" style="1234" customWidth="1"/>
    <col min="2275" max="2277" width="9" style="1234"/>
    <col min="2278" max="2278" width="14.375" style="1234" customWidth="1"/>
    <col min="2279" max="2279" width="21.75" style="1234" customWidth="1"/>
    <col min="2280" max="2516" width="9" style="1234"/>
    <col min="2517" max="2517" width="6.75" style="1234" bestFit="1" customWidth="1"/>
    <col min="2518" max="2518" width="46.375" style="1234" customWidth="1"/>
    <col min="2519" max="2519" width="8.75" style="1234" customWidth="1"/>
    <col min="2520" max="2520" width="7.5" style="1234" customWidth="1"/>
    <col min="2521" max="2521" width="8.875" style="1234" customWidth="1"/>
    <col min="2522" max="2522" width="7.875" style="1234" bestFit="1" customWidth="1"/>
    <col min="2523" max="2523" width="9" style="1234"/>
    <col min="2524" max="2524" width="12.75" style="1234" customWidth="1"/>
    <col min="2525" max="2527" width="9" style="1234"/>
    <col min="2528" max="2528" width="21.75" style="1234" customWidth="1"/>
    <col min="2529" max="2529" width="9" style="1234"/>
    <col min="2530" max="2530" width="16.875" style="1234" customWidth="1"/>
    <col min="2531" max="2533" width="9" style="1234"/>
    <col min="2534" max="2534" width="14.375" style="1234" customWidth="1"/>
    <col min="2535" max="2535" width="21.75" style="1234" customWidth="1"/>
    <col min="2536" max="2772" width="9" style="1234"/>
    <col min="2773" max="2773" width="6.75" style="1234" bestFit="1" customWidth="1"/>
    <col min="2774" max="2774" width="46.375" style="1234" customWidth="1"/>
    <col min="2775" max="2775" width="8.75" style="1234" customWidth="1"/>
    <col min="2776" max="2776" width="7.5" style="1234" customWidth="1"/>
    <col min="2777" max="2777" width="8.875" style="1234" customWidth="1"/>
    <col min="2778" max="2778" width="7.875" style="1234" bestFit="1" customWidth="1"/>
    <col min="2779" max="2779" width="9" style="1234"/>
    <col min="2780" max="2780" width="12.75" style="1234" customWidth="1"/>
    <col min="2781" max="2783" width="9" style="1234"/>
    <col min="2784" max="2784" width="21.75" style="1234" customWidth="1"/>
    <col min="2785" max="2785" width="9" style="1234"/>
    <col min="2786" max="2786" width="16.875" style="1234" customWidth="1"/>
    <col min="2787" max="2789" width="9" style="1234"/>
    <col min="2790" max="2790" width="14.375" style="1234" customWidth="1"/>
    <col min="2791" max="2791" width="21.75" style="1234" customWidth="1"/>
    <col min="2792" max="3028" width="9" style="1234"/>
    <col min="3029" max="3029" width="6.75" style="1234" bestFit="1" customWidth="1"/>
    <col min="3030" max="3030" width="46.375" style="1234" customWidth="1"/>
    <col min="3031" max="3031" width="8.75" style="1234" customWidth="1"/>
    <col min="3032" max="3032" width="7.5" style="1234" customWidth="1"/>
    <col min="3033" max="3033" width="8.875" style="1234" customWidth="1"/>
    <col min="3034" max="3034" width="7.875" style="1234" bestFit="1" customWidth="1"/>
    <col min="3035" max="3035" width="9" style="1234"/>
    <col min="3036" max="3036" width="12.75" style="1234" customWidth="1"/>
    <col min="3037" max="3039" width="9" style="1234"/>
    <col min="3040" max="3040" width="21.75" style="1234" customWidth="1"/>
    <col min="3041" max="3041" width="9" style="1234"/>
    <col min="3042" max="3042" width="16.875" style="1234" customWidth="1"/>
    <col min="3043" max="3045" width="9" style="1234"/>
    <col min="3046" max="3046" width="14.375" style="1234" customWidth="1"/>
    <col min="3047" max="3047" width="21.75" style="1234" customWidth="1"/>
    <col min="3048" max="3284" width="9" style="1234"/>
    <col min="3285" max="3285" width="6.75" style="1234" bestFit="1" customWidth="1"/>
    <col min="3286" max="3286" width="46.375" style="1234" customWidth="1"/>
    <col min="3287" max="3287" width="8.75" style="1234" customWidth="1"/>
    <col min="3288" max="3288" width="7.5" style="1234" customWidth="1"/>
    <col min="3289" max="3289" width="8.875" style="1234" customWidth="1"/>
    <col min="3290" max="3290" width="7.875" style="1234" bestFit="1" customWidth="1"/>
    <col min="3291" max="3291" width="9" style="1234"/>
    <col min="3292" max="3292" width="12.75" style="1234" customWidth="1"/>
    <col min="3293" max="3295" width="9" style="1234"/>
    <col min="3296" max="3296" width="21.75" style="1234" customWidth="1"/>
    <col min="3297" max="3297" width="9" style="1234"/>
    <col min="3298" max="3298" width="16.875" style="1234" customWidth="1"/>
    <col min="3299" max="3301" width="9" style="1234"/>
    <col min="3302" max="3302" width="14.375" style="1234" customWidth="1"/>
    <col min="3303" max="3303" width="21.75" style="1234" customWidth="1"/>
    <col min="3304" max="3540" width="9" style="1234"/>
    <col min="3541" max="3541" width="6.75" style="1234" bestFit="1" customWidth="1"/>
    <col min="3542" max="3542" width="46.375" style="1234" customWidth="1"/>
    <col min="3543" max="3543" width="8.75" style="1234" customWidth="1"/>
    <col min="3544" max="3544" width="7.5" style="1234" customWidth="1"/>
    <col min="3545" max="3545" width="8.875" style="1234" customWidth="1"/>
    <col min="3546" max="3546" width="7.875" style="1234" bestFit="1" customWidth="1"/>
    <col min="3547" max="3547" width="9" style="1234"/>
    <col min="3548" max="3548" width="12.75" style="1234" customWidth="1"/>
    <col min="3549" max="3551" width="9" style="1234"/>
    <col min="3552" max="3552" width="21.75" style="1234" customWidth="1"/>
    <col min="3553" max="3553" width="9" style="1234"/>
    <col min="3554" max="3554" width="16.875" style="1234" customWidth="1"/>
    <col min="3555" max="3557" width="9" style="1234"/>
    <col min="3558" max="3558" width="14.375" style="1234" customWidth="1"/>
    <col min="3559" max="3559" width="21.75" style="1234" customWidth="1"/>
    <col min="3560" max="3796" width="9" style="1234"/>
    <col min="3797" max="3797" width="6.75" style="1234" bestFit="1" customWidth="1"/>
    <col min="3798" max="3798" width="46.375" style="1234" customWidth="1"/>
    <col min="3799" max="3799" width="8.75" style="1234" customWidth="1"/>
    <col min="3800" max="3800" width="7.5" style="1234" customWidth="1"/>
    <col min="3801" max="3801" width="8.875" style="1234" customWidth="1"/>
    <col min="3802" max="3802" width="7.875" style="1234" bestFit="1" customWidth="1"/>
    <col min="3803" max="3803" width="9" style="1234"/>
    <col min="3804" max="3804" width="12.75" style="1234" customWidth="1"/>
    <col min="3805" max="3807" width="9" style="1234"/>
    <col min="3808" max="3808" width="21.75" style="1234" customWidth="1"/>
    <col min="3809" max="3809" width="9" style="1234"/>
    <col min="3810" max="3810" width="16.875" style="1234" customWidth="1"/>
    <col min="3811" max="3813" width="9" style="1234"/>
    <col min="3814" max="3814" width="14.375" style="1234" customWidth="1"/>
    <col min="3815" max="3815" width="21.75" style="1234" customWidth="1"/>
    <col min="3816" max="4052" width="9" style="1234"/>
    <col min="4053" max="4053" width="6.75" style="1234" bestFit="1" customWidth="1"/>
    <col min="4054" max="4054" width="46.375" style="1234" customWidth="1"/>
    <col min="4055" max="4055" width="8.75" style="1234" customWidth="1"/>
    <col min="4056" max="4056" width="7.5" style="1234" customWidth="1"/>
    <col min="4057" max="4057" width="8.875" style="1234" customWidth="1"/>
    <col min="4058" max="4058" width="7.875" style="1234" bestFit="1" customWidth="1"/>
    <col min="4059" max="4059" width="9" style="1234"/>
    <col min="4060" max="4060" width="12.75" style="1234" customWidth="1"/>
    <col min="4061" max="4063" width="9" style="1234"/>
    <col min="4064" max="4064" width="21.75" style="1234" customWidth="1"/>
    <col min="4065" max="4065" width="9" style="1234"/>
    <col min="4066" max="4066" width="16.875" style="1234" customWidth="1"/>
    <col min="4067" max="4069" width="9" style="1234"/>
    <col min="4070" max="4070" width="14.375" style="1234" customWidth="1"/>
    <col min="4071" max="4071" width="21.75" style="1234" customWidth="1"/>
    <col min="4072" max="4308" width="9" style="1234"/>
    <col min="4309" max="4309" width="6.75" style="1234" bestFit="1" customWidth="1"/>
    <col min="4310" max="4310" width="46.375" style="1234" customWidth="1"/>
    <col min="4311" max="4311" width="8.75" style="1234" customWidth="1"/>
    <col min="4312" max="4312" width="7.5" style="1234" customWidth="1"/>
    <col min="4313" max="4313" width="8.875" style="1234" customWidth="1"/>
    <col min="4314" max="4314" width="7.875" style="1234" bestFit="1" customWidth="1"/>
    <col min="4315" max="4315" width="9" style="1234"/>
    <col min="4316" max="4316" width="12.75" style="1234" customWidth="1"/>
    <col min="4317" max="4319" width="9" style="1234"/>
    <col min="4320" max="4320" width="21.75" style="1234" customWidth="1"/>
    <col min="4321" max="4321" width="9" style="1234"/>
    <col min="4322" max="4322" width="16.875" style="1234" customWidth="1"/>
    <col min="4323" max="4325" width="9" style="1234"/>
    <col min="4326" max="4326" width="14.375" style="1234" customWidth="1"/>
    <col min="4327" max="4327" width="21.75" style="1234" customWidth="1"/>
    <col min="4328" max="4564" width="9" style="1234"/>
    <col min="4565" max="4565" width="6.75" style="1234" bestFit="1" customWidth="1"/>
    <col min="4566" max="4566" width="46.375" style="1234" customWidth="1"/>
    <col min="4567" max="4567" width="8.75" style="1234" customWidth="1"/>
    <col min="4568" max="4568" width="7.5" style="1234" customWidth="1"/>
    <col min="4569" max="4569" width="8.875" style="1234" customWidth="1"/>
    <col min="4570" max="4570" width="7.875" style="1234" bestFit="1" customWidth="1"/>
    <col min="4571" max="4571" width="9" style="1234"/>
    <col min="4572" max="4572" width="12.75" style="1234" customWidth="1"/>
    <col min="4573" max="4575" width="9" style="1234"/>
    <col min="4576" max="4576" width="21.75" style="1234" customWidth="1"/>
    <col min="4577" max="4577" width="9" style="1234"/>
    <col min="4578" max="4578" width="16.875" style="1234" customWidth="1"/>
    <col min="4579" max="4581" width="9" style="1234"/>
    <col min="4582" max="4582" width="14.375" style="1234" customWidth="1"/>
    <col min="4583" max="4583" width="21.75" style="1234" customWidth="1"/>
    <col min="4584" max="4820" width="9" style="1234"/>
    <col min="4821" max="4821" width="6.75" style="1234" bestFit="1" customWidth="1"/>
    <col min="4822" max="4822" width="46.375" style="1234" customWidth="1"/>
    <col min="4823" max="4823" width="8.75" style="1234" customWidth="1"/>
    <col min="4824" max="4824" width="7.5" style="1234" customWidth="1"/>
    <col min="4825" max="4825" width="8.875" style="1234" customWidth="1"/>
    <col min="4826" max="4826" width="7.875" style="1234" bestFit="1" customWidth="1"/>
    <col min="4827" max="4827" width="9" style="1234"/>
    <col min="4828" max="4828" width="12.75" style="1234" customWidth="1"/>
    <col min="4829" max="4831" width="9" style="1234"/>
    <col min="4832" max="4832" width="21.75" style="1234" customWidth="1"/>
    <col min="4833" max="4833" width="9" style="1234"/>
    <col min="4834" max="4834" width="16.875" style="1234" customWidth="1"/>
    <col min="4835" max="4837" width="9" style="1234"/>
    <col min="4838" max="4838" width="14.375" style="1234" customWidth="1"/>
    <col min="4839" max="4839" width="21.75" style="1234" customWidth="1"/>
    <col min="4840" max="5076" width="9" style="1234"/>
    <col min="5077" max="5077" width="6.75" style="1234" bestFit="1" customWidth="1"/>
    <col min="5078" max="5078" width="46.375" style="1234" customWidth="1"/>
    <col min="5079" max="5079" width="8.75" style="1234" customWidth="1"/>
    <col min="5080" max="5080" width="7.5" style="1234" customWidth="1"/>
    <col min="5081" max="5081" width="8.875" style="1234" customWidth="1"/>
    <col min="5082" max="5082" width="7.875" style="1234" bestFit="1" customWidth="1"/>
    <col min="5083" max="5083" width="9" style="1234"/>
    <col min="5084" max="5084" width="12.75" style="1234" customWidth="1"/>
    <col min="5085" max="5087" width="9" style="1234"/>
    <col min="5088" max="5088" width="21.75" style="1234" customWidth="1"/>
    <col min="5089" max="5089" width="9" style="1234"/>
    <col min="5090" max="5090" width="16.875" style="1234" customWidth="1"/>
    <col min="5091" max="5093" width="9" style="1234"/>
    <col min="5094" max="5094" width="14.375" style="1234" customWidth="1"/>
    <col min="5095" max="5095" width="21.75" style="1234" customWidth="1"/>
    <col min="5096" max="5332" width="9" style="1234"/>
    <col min="5333" max="5333" width="6.75" style="1234" bestFit="1" customWidth="1"/>
    <col min="5334" max="5334" width="46.375" style="1234" customWidth="1"/>
    <col min="5335" max="5335" width="8.75" style="1234" customWidth="1"/>
    <col min="5336" max="5336" width="7.5" style="1234" customWidth="1"/>
    <col min="5337" max="5337" width="8.875" style="1234" customWidth="1"/>
    <col min="5338" max="5338" width="7.875" style="1234" bestFit="1" customWidth="1"/>
    <col min="5339" max="5339" width="9" style="1234"/>
    <col min="5340" max="5340" width="12.75" style="1234" customWidth="1"/>
    <col min="5341" max="5343" width="9" style="1234"/>
    <col min="5344" max="5344" width="21.75" style="1234" customWidth="1"/>
    <col min="5345" max="5345" width="9" style="1234"/>
    <col min="5346" max="5346" width="16.875" style="1234" customWidth="1"/>
    <col min="5347" max="5349" width="9" style="1234"/>
    <col min="5350" max="5350" width="14.375" style="1234" customWidth="1"/>
    <col min="5351" max="5351" width="21.75" style="1234" customWidth="1"/>
    <col min="5352" max="5588" width="9" style="1234"/>
    <col min="5589" max="5589" width="6.75" style="1234" bestFit="1" customWidth="1"/>
    <col min="5590" max="5590" width="46.375" style="1234" customWidth="1"/>
    <col min="5591" max="5591" width="8.75" style="1234" customWidth="1"/>
    <col min="5592" max="5592" width="7.5" style="1234" customWidth="1"/>
    <col min="5593" max="5593" width="8.875" style="1234" customWidth="1"/>
    <col min="5594" max="5594" width="7.875" style="1234" bestFit="1" customWidth="1"/>
    <col min="5595" max="5595" width="9" style="1234"/>
    <col min="5596" max="5596" width="12.75" style="1234" customWidth="1"/>
    <col min="5597" max="5599" width="9" style="1234"/>
    <col min="5600" max="5600" width="21.75" style="1234" customWidth="1"/>
    <col min="5601" max="5601" width="9" style="1234"/>
    <col min="5602" max="5602" width="16.875" style="1234" customWidth="1"/>
    <col min="5603" max="5605" width="9" style="1234"/>
    <col min="5606" max="5606" width="14.375" style="1234" customWidth="1"/>
    <col min="5607" max="5607" width="21.75" style="1234" customWidth="1"/>
    <col min="5608" max="5844" width="9" style="1234"/>
    <col min="5845" max="5845" width="6.75" style="1234" bestFit="1" customWidth="1"/>
    <col min="5846" max="5846" width="46.375" style="1234" customWidth="1"/>
    <col min="5847" max="5847" width="8.75" style="1234" customWidth="1"/>
    <col min="5848" max="5848" width="7.5" style="1234" customWidth="1"/>
    <col min="5849" max="5849" width="8.875" style="1234" customWidth="1"/>
    <col min="5850" max="5850" width="7.875" style="1234" bestFit="1" customWidth="1"/>
    <col min="5851" max="5851" width="9" style="1234"/>
    <col min="5852" max="5852" width="12.75" style="1234" customWidth="1"/>
    <col min="5853" max="5855" width="9" style="1234"/>
    <col min="5856" max="5856" width="21.75" style="1234" customWidth="1"/>
    <col min="5857" max="5857" width="9" style="1234"/>
    <col min="5858" max="5858" width="16.875" style="1234" customWidth="1"/>
    <col min="5859" max="5861" width="9" style="1234"/>
    <col min="5862" max="5862" width="14.375" style="1234" customWidth="1"/>
    <col min="5863" max="5863" width="21.75" style="1234" customWidth="1"/>
    <col min="5864" max="6100" width="9" style="1234"/>
    <col min="6101" max="6101" width="6.75" style="1234" bestFit="1" customWidth="1"/>
    <col min="6102" max="6102" width="46.375" style="1234" customWidth="1"/>
    <col min="6103" max="6103" width="8.75" style="1234" customWidth="1"/>
    <col min="6104" max="6104" width="7.5" style="1234" customWidth="1"/>
    <col min="6105" max="6105" width="8.875" style="1234" customWidth="1"/>
    <col min="6106" max="6106" width="7.875" style="1234" bestFit="1" customWidth="1"/>
    <col min="6107" max="6107" width="9" style="1234"/>
    <col min="6108" max="6108" width="12.75" style="1234" customWidth="1"/>
    <col min="6109" max="6111" width="9" style="1234"/>
    <col min="6112" max="6112" width="21.75" style="1234" customWidth="1"/>
    <col min="6113" max="6113" width="9" style="1234"/>
    <col min="6114" max="6114" width="16.875" style="1234" customWidth="1"/>
    <col min="6115" max="6117" width="9" style="1234"/>
    <col min="6118" max="6118" width="14.375" style="1234" customWidth="1"/>
    <col min="6119" max="6119" width="21.75" style="1234" customWidth="1"/>
    <col min="6120" max="6356" width="9" style="1234"/>
    <col min="6357" max="6357" width="6.75" style="1234" bestFit="1" customWidth="1"/>
    <col min="6358" max="6358" width="46.375" style="1234" customWidth="1"/>
    <col min="6359" max="6359" width="8.75" style="1234" customWidth="1"/>
    <col min="6360" max="6360" width="7.5" style="1234" customWidth="1"/>
    <col min="6361" max="6361" width="8.875" style="1234" customWidth="1"/>
    <col min="6362" max="6362" width="7.875" style="1234" bestFit="1" customWidth="1"/>
    <col min="6363" max="6363" width="9" style="1234"/>
    <col min="6364" max="6364" width="12.75" style="1234" customWidth="1"/>
    <col min="6365" max="6367" width="9" style="1234"/>
    <col min="6368" max="6368" width="21.75" style="1234" customWidth="1"/>
    <col min="6369" max="6369" width="9" style="1234"/>
    <col min="6370" max="6370" width="16.875" style="1234" customWidth="1"/>
    <col min="6371" max="6373" width="9" style="1234"/>
    <col min="6374" max="6374" width="14.375" style="1234" customWidth="1"/>
    <col min="6375" max="6375" width="21.75" style="1234" customWidth="1"/>
    <col min="6376" max="6612" width="9" style="1234"/>
    <col min="6613" max="6613" width="6.75" style="1234" bestFit="1" customWidth="1"/>
    <col min="6614" max="6614" width="46.375" style="1234" customWidth="1"/>
    <col min="6615" max="6615" width="8.75" style="1234" customWidth="1"/>
    <col min="6616" max="6616" width="7.5" style="1234" customWidth="1"/>
    <col min="6617" max="6617" width="8.875" style="1234" customWidth="1"/>
    <col min="6618" max="6618" width="7.875" style="1234" bestFit="1" customWidth="1"/>
    <col min="6619" max="6619" width="9" style="1234"/>
    <col min="6620" max="6620" width="12.75" style="1234" customWidth="1"/>
    <col min="6621" max="6623" width="9" style="1234"/>
    <col min="6624" max="6624" width="21.75" style="1234" customWidth="1"/>
    <col min="6625" max="6625" width="9" style="1234"/>
    <col min="6626" max="6626" width="16.875" style="1234" customWidth="1"/>
    <col min="6627" max="6629" width="9" style="1234"/>
    <col min="6630" max="6630" width="14.375" style="1234" customWidth="1"/>
    <col min="6631" max="6631" width="21.75" style="1234" customWidth="1"/>
    <col min="6632" max="6868" width="9" style="1234"/>
    <col min="6869" max="6869" width="6.75" style="1234" bestFit="1" customWidth="1"/>
    <col min="6870" max="6870" width="46.375" style="1234" customWidth="1"/>
    <col min="6871" max="6871" width="8.75" style="1234" customWidth="1"/>
    <col min="6872" max="6872" width="7.5" style="1234" customWidth="1"/>
    <col min="6873" max="6873" width="8.875" style="1234" customWidth="1"/>
    <col min="6874" max="6874" width="7.875" style="1234" bestFit="1" customWidth="1"/>
    <col min="6875" max="6875" width="9" style="1234"/>
    <col min="6876" max="6876" width="12.75" style="1234" customWidth="1"/>
    <col min="6877" max="6879" width="9" style="1234"/>
    <col min="6880" max="6880" width="21.75" style="1234" customWidth="1"/>
    <col min="6881" max="6881" width="9" style="1234"/>
    <col min="6882" max="6882" width="16.875" style="1234" customWidth="1"/>
    <col min="6883" max="6885" width="9" style="1234"/>
    <col min="6886" max="6886" width="14.375" style="1234" customWidth="1"/>
    <col min="6887" max="6887" width="21.75" style="1234" customWidth="1"/>
    <col min="6888" max="7124" width="9" style="1234"/>
    <col min="7125" max="7125" width="6.75" style="1234" bestFit="1" customWidth="1"/>
    <col min="7126" max="7126" width="46.375" style="1234" customWidth="1"/>
    <col min="7127" max="7127" width="8.75" style="1234" customWidth="1"/>
    <col min="7128" max="7128" width="7.5" style="1234" customWidth="1"/>
    <col min="7129" max="7129" width="8.875" style="1234" customWidth="1"/>
    <col min="7130" max="7130" width="7.875" style="1234" bestFit="1" customWidth="1"/>
    <col min="7131" max="7131" width="9" style="1234"/>
    <col min="7132" max="7132" width="12.75" style="1234" customWidth="1"/>
    <col min="7133" max="7135" width="9" style="1234"/>
    <col min="7136" max="7136" width="21.75" style="1234" customWidth="1"/>
    <col min="7137" max="7137" width="9" style="1234"/>
    <col min="7138" max="7138" width="16.875" style="1234" customWidth="1"/>
    <col min="7139" max="7141" width="9" style="1234"/>
    <col min="7142" max="7142" width="14.375" style="1234" customWidth="1"/>
    <col min="7143" max="7143" width="21.75" style="1234" customWidth="1"/>
    <col min="7144" max="7380" width="9" style="1234"/>
    <col min="7381" max="7381" width="6.75" style="1234" bestFit="1" customWidth="1"/>
    <col min="7382" max="7382" width="46.375" style="1234" customWidth="1"/>
    <col min="7383" max="7383" width="8.75" style="1234" customWidth="1"/>
    <col min="7384" max="7384" width="7.5" style="1234" customWidth="1"/>
    <col min="7385" max="7385" width="8.875" style="1234" customWidth="1"/>
    <col min="7386" max="7386" width="7.875" style="1234" bestFit="1" customWidth="1"/>
    <col min="7387" max="7387" width="9" style="1234"/>
    <col min="7388" max="7388" width="12.75" style="1234" customWidth="1"/>
    <col min="7389" max="7391" width="9" style="1234"/>
    <col min="7392" max="7392" width="21.75" style="1234" customWidth="1"/>
    <col min="7393" max="7393" width="9" style="1234"/>
    <col min="7394" max="7394" width="16.875" style="1234" customWidth="1"/>
    <col min="7395" max="7397" width="9" style="1234"/>
    <col min="7398" max="7398" width="14.375" style="1234" customWidth="1"/>
    <col min="7399" max="7399" width="21.75" style="1234" customWidth="1"/>
    <col min="7400" max="7636" width="9" style="1234"/>
    <col min="7637" max="7637" width="6.75" style="1234" bestFit="1" customWidth="1"/>
    <col min="7638" max="7638" width="46.375" style="1234" customWidth="1"/>
    <col min="7639" max="7639" width="8.75" style="1234" customWidth="1"/>
    <col min="7640" max="7640" width="7.5" style="1234" customWidth="1"/>
    <col min="7641" max="7641" width="8.875" style="1234" customWidth="1"/>
    <col min="7642" max="7642" width="7.875" style="1234" bestFit="1" customWidth="1"/>
    <col min="7643" max="7643" width="9" style="1234"/>
    <col min="7644" max="7644" width="12.75" style="1234" customWidth="1"/>
    <col min="7645" max="7647" width="9" style="1234"/>
    <col min="7648" max="7648" width="21.75" style="1234" customWidth="1"/>
    <col min="7649" max="7649" width="9" style="1234"/>
    <col min="7650" max="7650" width="16.875" style="1234" customWidth="1"/>
    <col min="7651" max="7653" width="9" style="1234"/>
    <col min="7654" max="7654" width="14.375" style="1234" customWidth="1"/>
    <col min="7655" max="7655" width="21.75" style="1234" customWidth="1"/>
    <col min="7656" max="7892" width="9" style="1234"/>
    <col min="7893" max="7893" width="6.75" style="1234" bestFit="1" customWidth="1"/>
    <col min="7894" max="7894" width="46.375" style="1234" customWidth="1"/>
    <col min="7895" max="7895" width="8.75" style="1234" customWidth="1"/>
    <col min="7896" max="7896" width="7.5" style="1234" customWidth="1"/>
    <col min="7897" max="7897" width="8.875" style="1234" customWidth="1"/>
    <col min="7898" max="7898" width="7.875" style="1234" bestFit="1" customWidth="1"/>
    <col min="7899" max="7899" width="9" style="1234"/>
    <col min="7900" max="7900" width="12.75" style="1234" customWidth="1"/>
    <col min="7901" max="7903" width="9" style="1234"/>
    <col min="7904" max="7904" width="21.75" style="1234" customWidth="1"/>
    <col min="7905" max="7905" width="9" style="1234"/>
    <col min="7906" max="7906" width="16.875" style="1234" customWidth="1"/>
    <col min="7907" max="7909" width="9" style="1234"/>
    <col min="7910" max="7910" width="14.375" style="1234" customWidth="1"/>
    <col min="7911" max="7911" width="21.75" style="1234" customWidth="1"/>
    <col min="7912" max="8148" width="9" style="1234"/>
    <col min="8149" max="8149" width="6.75" style="1234" bestFit="1" customWidth="1"/>
    <col min="8150" max="8150" width="46.375" style="1234" customWidth="1"/>
    <col min="8151" max="8151" width="8.75" style="1234" customWidth="1"/>
    <col min="8152" max="8152" width="7.5" style="1234" customWidth="1"/>
    <col min="8153" max="8153" width="8.875" style="1234" customWidth="1"/>
    <col min="8154" max="8154" width="7.875" style="1234" bestFit="1" customWidth="1"/>
    <col min="8155" max="8155" width="9" style="1234"/>
    <col min="8156" max="8156" width="12.75" style="1234" customWidth="1"/>
    <col min="8157" max="8159" width="9" style="1234"/>
    <col min="8160" max="8160" width="21.75" style="1234" customWidth="1"/>
    <col min="8161" max="8161" width="9" style="1234"/>
    <col min="8162" max="8162" width="16.875" style="1234" customWidth="1"/>
    <col min="8163" max="8165" width="9" style="1234"/>
    <col min="8166" max="8166" width="14.375" style="1234" customWidth="1"/>
    <col min="8167" max="8167" width="21.75" style="1234" customWidth="1"/>
    <col min="8168" max="8404" width="9" style="1234"/>
    <col min="8405" max="8405" width="6.75" style="1234" bestFit="1" customWidth="1"/>
    <col min="8406" max="8406" width="46.375" style="1234" customWidth="1"/>
    <col min="8407" max="8407" width="8.75" style="1234" customWidth="1"/>
    <col min="8408" max="8408" width="7.5" style="1234" customWidth="1"/>
    <col min="8409" max="8409" width="8.875" style="1234" customWidth="1"/>
    <col min="8410" max="8410" width="7.875" style="1234" bestFit="1" customWidth="1"/>
    <col min="8411" max="8411" width="9" style="1234"/>
    <col min="8412" max="8412" width="12.75" style="1234" customWidth="1"/>
    <col min="8413" max="8415" width="9" style="1234"/>
    <col min="8416" max="8416" width="21.75" style="1234" customWidth="1"/>
    <col min="8417" max="8417" width="9" style="1234"/>
    <col min="8418" max="8418" width="16.875" style="1234" customWidth="1"/>
    <col min="8419" max="8421" width="9" style="1234"/>
    <col min="8422" max="8422" width="14.375" style="1234" customWidth="1"/>
    <col min="8423" max="8423" width="21.75" style="1234" customWidth="1"/>
    <col min="8424" max="8660" width="9" style="1234"/>
    <col min="8661" max="8661" width="6.75" style="1234" bestFit="1" customWidth="1"/>
    <col min="8662" max="8662" width="46.375" style="1234" customWidth="1"/>
    <col min="8663" max="8663" width="8.75" style="1234" customWidth="1"/>
    <col min="8664" max="8664" width="7.5" style="1234" customWidth="1"/>
    <col min="8665" max="8665" width="8.875" style="1234" customWidth="1"/>
    <col min="8666" max="8666" width="7.875" style="1234" bestFit="1" customWidth="1"/>
    <col min="8667" max="8667" width="9" style="1234"/>
    <col min="8668" max="8668" width="12.75" style="1234" customWidth="1"/>
    <col min="8669" max="8671" width="9" style="1234"/>
    <col min="8672" max="8672" width="21.75" style="1234" customWidth="1"/>
    <col min="8673" max="8673" width="9" style="1234"/>
    <col min="8674" max="8674" width="16.875" style="1234" customWidth="1"/>
    <col min="8675" max="8677" width="9" style="1234"/>
    <col min="8678" max="8678" width="14.375" style="1234" customWidth="1"/>
    <col min="8679" max="8679" width="21.75" style="1234" customWidth="1"/>
    <col min="8680" max="8916" width="9" style="1234"/>
    <col min="8917" max="8917" width="6.75" style="1234" bestFit="1" customWidth="1"/>
    <col min="8918" max="8918" width="46.375" style="1234" customWidth="1"/>
    <col min="8919" max="8919" width="8.75" style="1234" customWidth="1"/>
    <col min="8920" max="8920" width="7.5" style="1234" customWidth="1"/>
    <col min="8921" max="8921" width="8.875" style="1234" customWidth="1"/>
    <col min="8922" max="8922" width="7.875" style="1234" bestFit="1" customWidth="1"/>
    <col min="8923" max="8923" width="9" style="1234"/>
    <col min="8924" max="8924" width="12.75" style="1234" customWidth="1"/>
    <col min="8925" max="8927" width="9" style="1234"/>
    <col min="8928" max="8928" width="21.75" style="1234" customWidth="1"/>
    <col min="8929" max="8929" width="9" style="1234"/>
    <col min="8930" max="8930" width="16.875" style="1234" customWidth="1"/>
    <col min="8931" max="8933" width="9" style="1234"/>
    <col min="8934" max="8934" width="14.375" style="1234" customWidth="1"/>
    <col min="8935" max="8935" width="21.75" style="1234" customWidth="1"/>
    <col min="8936" max="9172" width="9" style="1234"/>
    <col min="9173" max="9173" width="6.75" style="1234" bestFit="1" customWidth="1"/>
    <col min="9174" max="9174" width="46.375" style="1234" customWidth="1"/>
    <col min="9175" max="9175" width="8.75" style="1234" customWidth="1"/>
    <col min="9176" max="9176" width="7.5" style="1234" customWidth="1"/>
    <col min="9177" max="9177" width="8.875" style="1234" customWidth="1"/>
    <col min="9178" max="9178" width="7.875" style="1234" bestFit="1" customWidth="1"/>
    <col min="9179" max="9179" width="9" style="1234"/>
    <col min="9180" max="9180" width="12.75" style="1234" customWidth="1"/>
    <col min="9181" max="9183" width="9" style="1234"/>
    <col min="9184" max="9184" width="21.75" style="1234" customWidth="1"/>
    <col min="9185" max="9185" width="9" style="1234"/>
    <col min="9186" max="9186" width="16.875" style="1234" customWidth="1"/>
    <col min="9187" max="9189" width="9" style="1234"/>
    <col min="9190" max="9190" width="14.375" style="1234" customWidth="1"/>
    <col min="9191" max="9191" width="21.75" style="1234" customWidth="1"/>
    <col min="9192" max="9428" width="9" style="1234"/>
    <col min="9429" max="9429" width="6.75" style="1234" bestFit="1" customWidth="1"/>
    <col min="9430" max="9430" width="46.375" style="1234" customWidth="1"/>
    <col min="9431" max="9431" width="8.75" style="1234" customWidth="1"/>
    <col min="9432" max="9432" width="7.5" style="1234" customWidth="1"/>
    <col min="9433" max="9433" width="8.875" style="1234" customWidth="1"/>
    <col min="9434" max="9434" width="7.875" style="1234" bestFit="1" customWidth="1"/>
    <col min="9435" max="9435" width="9" style="1234"/>
    <col min="9436" max="9436" width="12.75" style="1234" customWidth="1"/>
    <col min="9437" max="9439" width="9" style="1234"/>
    <col min="9440" max="9440" width="21.75" style="1234" customWidth="1"/>
    <col min="9441" max="9441" width="9" style="1234"/>
    <col min="9442" max="9442" width="16.875" style="1234" customWidth="1"/>
    <col min="9443" max="9445" width="9" style="1234"/>
    <col min="9446" max="9446" width="14.375" style="1234" customWidth="1"/>
    <col min="9447" max="9447" width="21.75" style="1234" customWidth="1"/>
    <col min="9448" max="9684" width="9" style="1234"/>
    <col min="9685" max="9685" width="6.75" style="1234" bestFit="1" customWidth="1"/>
    <col min="9686" max="9686" width="46.375" style="1234" customWidth="1"/>
    <col min="9687" max="9687" width="8.75" style="1234" customWidth="1"/>
    <col min="9688" max="9688" width="7.5" style="1234" customWidth="1"/>
    <col min="9689" max="9689" width="8.875" style="1234" customWidth="1"/>
    <col min="9690" max="9690" width="7.875" style="1234" bestFit="1" customWidth="1"/>
    <col min="9691" max="9691" width="9" style="1234"/>
    <col min="9692" max="9692" width="12.75" style="1234" customWidth="1"/>
    <col min="9693" max="9695" width="9" style="1234"/>
    <col min="9696" max="9696" width="21.75" style="1234" customWidth="1"/>
    <col min="9697" max="9697" width="9" style="1234"/>
    <col min="9698" max="9698" width="16.875" style="1234" customWidth="1"/>
    <col min="9699" max="9701" width="9" style="1234"/>
    <col min="9702" max="9702" width="14.375" style="1234" customWidth="1"/>
    <col min="9703" max="9703" width="21.75" style="1234" customWidth="1"/>
    <col min="9704" max="9940" width="9" style="1234"/>
    <col min="9941" max="9941" width="6.75" style="1234" bestFit="1" customWidth="1"/>
    <col min="9942" max="9942" width="46.375" style="1234" customWidth="1"/>
    <col min="9943" max="9943" width="8.75" style="1234" customWidth="1"/>
    <col min="9944" max="9944" width="7.5" style="1234" customWidth="1"/>
    <col min="9945" max="9945" width="8.875" style="1234" customWidth="1"/>
    <col min="9946" max="9946" width="7.875" style="1234" bestFit="1" customWidth="1"/>
    <col min="9947" max="9947" width="9" style="1234"/>
    <col min="9948" max="9948" width="12.75" style="1234" customWidth="1"/>
    <col min="9949" max="9951" width="9" style="1234"/>
    <col min="9952" max="9952" width="21.75" style="1234" customWidth="1"/>
    <col min="9953" max="9953" width="9" style="1234"/>
    <col min="9954" max="9954" width="16.875" style="1234" customWidth="1"/>
    <col min="9955" max="9957" width="9" style="1234"/>
    <col min="9958" max="9958" width="14.375" style="1234" customWidth="1"/>
    <col min="9959" max="9959" width="21.75" style="1234" customWidth="1"/>
    <col min="9960" max="10196" width="9" style="1234"/>
    <col min="10197" max="10197" width="6.75" style="1234" bestFit="1" customWidth="1"/>
    <col min="10198" max="10198" width="46.375" style="1234" customWidth="1"/>
    <col min="10199" max="10199" width="8.75" style="1234" customWidth="1"/>
    <col min="10200" max="10200" width="7.5" style="1234" customWidth="1"/>
    <col min="10201" max="10201" width="8.875" style="1234" customWidth="1"/>
    <col min="10202" max="10202" width="7.875" style="1234" bestFit="1" customWidth="1"/>
    <col min="10203" max="10203" width="9" style="1234"/>
    <col min="10204" max="10204" width="12.75" style="1234" customWidth="1"/>
    <col min="10205" max="10207" width="9" style="1234"/>
    <col min="10208" max="10208" width="21.75" style="1234" customWidth="1"/>
    <col min="10209" max="10209" width="9" style="1234"/>
    <col min="10210" max="10210" width="16.875" style="1234" customWidth="1"/>
    <col min="10211" max="10213" width="9" style="1234"/>
    <col min="10214" max="10214" width="14.375" style="1234" customWidth="1"/>
    <col min="10215" max="10215" width="21.75" style="1234" customWidth="1"/>
    <col min="10216" max="10452" width="9" style="1234"/>
    <col min="10453" max="10453" width="6.75" style="1234" bestFit="1" customWidth="1"/>
    <col min="10454" max="10454" width="46.375" style="1234" customWidth="1"/>
    <col min="10455" max="10455" width="8.75" style="1234" customWidth="1"/>
    <col min="10456" max="10456" width="7.5" style="1234" customWidth="1"/>
    <col min="10457" max="10457" width="8.875" style="1234" customWidth="1"/>
    <col min="10458" max="10458" width="7.875" style="1234" bestFit="1" customWidth="1"/>
    <col min="10459" max="10459" width="9" style="1234"/>
    <col min="10460" max="10460" width="12.75" style="1234" customWidth="1"/>
    <col min="10461" max="10463" width="9" style="1234"/>
    <col min="10464" max="10464" width="21.75" style="1234" customWidth="1"/>
    <col min="10465" max="10465" width="9" style="1234"/>
    <col min="10466" max="10466" width="16.875" style="1234" customWidth="1"/>
    <col min="10467" max="10469" width="9" style="1234"/>
    <col min="10470" max="10470" width="14.375" style="1234" customWidth="1"/>
    <col min="10471" max="10471" width="21.75" style="1234" customWidth="1"/>
    <col min="10472" max="10708" width="9" style="1234"/>
    <col min="10709" max="10709" width="6.75" style="1234" bestFit="1" customWidth="1"/>
    <col min="10710" max="10710" width="46.375" style="1234" customWidth="1"/>
    <col min="10711" max="10711" width="8.75" style="1234" customWidth="1"/>
    <col min="10712" max="10712" width="7.5" style="1234" customWidth="1"/>
    <col min="10713" max="10713" width="8.875" style="1234" customWidth="1"/>
    <col min="10714" max="10714" width="7.875" style="1234" bestFit="1" customWidth="1"/>
    <col min="10715" max="10715" width="9" style="1234"/>
    <col min="10716" max="10716" width="12.75" style="1234" customWidth="1"/>
    <col min="10717" max="10719" width="9" style="1234"/>
    <col min="10720" max="10720" width="21.75" style="1234" customWidth="1"/>
    <col min="10721" max="10721" width="9" style="1234"/>
    <col min="10722" max="10722" width="16.875" style="1234" customWidth="1"/>
    <col min="10723" max="10725" width="9" style="1234"/>
    <col min="10726" max="10726" width="14.375" style="1234" customWidth="1"/>
    <col min="10727" max="10727" width="21.75" style="1234" customWidth="1"/>
    <col min="10728" max="10964" width="9" style="1234"/>
    <col min="10965" max="10965" width="6.75" style="1234" bestFit="1" customWidth="1"/>
    <col min="10966" max="10966" width="46.375" style="1234" customWidth="1"/>
    <col min="10967" max="10967" width="8.75" style="1234" customWidth="1"/>
    <col min="10968" max="10968" width="7.5" style="1234" customWidth="1"/>
    <col min="10969" max="10969" width="8.875" style="1234" customWidth="1"/>
    <col min="10970" max="10970" width="7.875" style="1234" bestFit="1" customWidth="1"/>
    <col min="10971" max="10971" width="9" style="1234"/>
    <col min="10972" max="10972" width="12.75" style="1234" customWidth="1"/>
    <col min="10973" max="10975" width="9" style="1234"/>
    <col min="10976" max="10976" width="21.75" style="1234" customWidth="1"/>
    <col min="10977" max="10977" width="9" style="1234"/>
    <col min="10978" max="10978" width="16.875" style="1234" customWidth="1"/>
    <col min="10979" max="10981" width="9" style="1234"/>
    <col min="10982" max="10982" width="14.375" style="1234" customWidth="1"/>
    <col min="10983" max="10983" width="21.75" style="1234" customWidth="1"/>
    <col min="10984" max="11220" width="9" style="1234"/>
    <col min="11221" max="11221" width="6.75" style="1234" bestFit="1" customWidth="1"/>
    <col min="11222" max="11222" width="46.375" style="1234" customWidth="1"/>
    <col min="11223" max="11223" width="8.75" style="1234" customWidth="1"/>
    <col min="11224" max="11224" width="7.5" style="1234" customWidth="1"/>
    <col min="11225" max="11225" width="8.875" style="1234" customWidth="1"/>
    <col min="11226" max="11226" width="7.875" style="1234" bestFit="1" customWidth="1"/>
    <col min="11227" max="11227" width="9" style="1234"/>
    <col min="11228" max="11228" width="12.75" style="1234" customWidth="1"/>
    <col min="11229" max="11231" width="9" style="1234"/>
    <col min="11232" max="11232" width="21.75" style="1234" customWidth="1"/>
    <col min="11233" max="11233" width="9" style="1234"/>
    <col min="11234" max="11234" width="16.875" style="1234" customWidth="1"/>
    <col min="11235" max="11237" width="9" style="1234"/>
    <col min="11238" max="11238" width="14.375" style="1234" customWidth="1"/>
    <col min="11239" max="11239" width="21.75" style="1234" customWidth="1"/>
    <col min="11240" max="11476" width="9" style="1234"/>
    <col min="11477" max="11477" width="6.75" style="1234" bestFit="1" customWidth="1"/>
    <col min="11478" max="11478" width="46.375" style="1234" customWidth="1"/>
    <col min="11479" max="11479" width="8.75" style="1234" customWidth="1"/>
    <col min="11480" max="11480" width="7.5" style="1234" customWidth="1"/>
    <col min="11481" max="11481" width="8.875" style="1234" customWidth="1"/>
    <col min="11482" max="11482" width="7.875" style="1234" bestFit="1" customWidth="1"/>
    <col min="11483" max="11483" width="9" style="1234"/>
    <col min="11484" max="11484" width="12.75" style="1234" customWidth="1"/>
    <col min="11485" max="11487" width="9" style="1234"/>
    <col min="11488" max="11488" width="21.75" style="1234" customWidth="1"/>
    <col min="11489" max="11489" width="9" style="1234"/>
    <col min="11490" max="11490" width="16.875" style="1234" customWidth="1"/>
    <col min="11491" max="11493" width="9" style="1234"/>
    <col min="11494" max="11494" width="14.375" style="1234" customWidth="1"/>
    <col min="11495" max="11495" width="21.75" style="1234" customWidth="1"/>
    <col min="11496" max="11732" width="9" style="1234"/>
    <col min="11733" max="11733" width="6.75" style="1234" bestFit="1" customWidth="1"/>
    <col min="11734" max="11734" width="46.375" style="1234" customWidth="1"/>
    <col min="11735" max="11735" width="8.75" style="1234" customWidth="1"/>
    <col min="11736" max="11736" width="7.5" style="1234" customWidth="1"/>
    <col min="11737" max="11737" width="8.875" style="1234" customWidth="1"/>
    <col min="11738" max="11738" width="7.875" style="1234" bestFit="1" customWidth="1"/>
    <col min="11739" max="11739" width="9" style="1234"/>
    <col min="11740" max="11740" width="12.75" style="1234" customWidth="1"/>
    <col min="11741" max="11743" width="9" style="1234"/>
    <col min="11744" max="11744" width="21.75" style="1234" customWidth="1"/>
    <col min="11745" max="11745" width="9" style="1234"/>
    <col min="11746" max="11746" width="16.875" style="1234" customWidth="1"/>
    <col min="11747" max="11749" width="9" style="1234"/>
    <col min="11750" max="11750" width="14.375" style="1234" customWidth="1"/>
    <col min="11751" max="11751" width="21.75" style="1234" customWidth="1"/>
    <col min="11752" max="11988" width="9" style="1234"/>
    <col min="11989" max="11989" width="6.75" style="1234" bestFit="1" customWidth="1"/>
    <col min="11990" max="11990" width="46.375" style="1234" customWidth="1"/>
    <col min="11991" max="11991" width="8.75" style="1234" customWidth="1"/>
    <col min="11992" max="11992" width="7.5" style="1234" customWidth="1"/>
    <col min="11993" max="11993" width="8.875" style="1234" customWidth="1"/>
    <col min="11994" max="11994" width="7.875" style="1234" bestFit="1" customWidth="1"/>
    <col min="11995" max="11995" width="9" style="1234"/>
    <col min="11996" max="11996" width="12.75" style="1234" customWidth="1"/>
    <col min="11997" max="11999" width="9" style="1234"/>
    <col min="12000" max="12000" width="21.75" style="1234" customWidth="1"/>
    <col min="12001" max="12001" width="9" style="1234"/>
    <col min="12002" max="12002" width="16.875" style="1234" customWidth="1"/>
    <col min="12003" max="12005" width="9" style="1234"/>
    <col min="12006" max="12006" width="14.375" style="1234" customWidth="1"/>
    <col min="12007" max="12007" width="21.75" style="1234" customWidth="1"/>
    <col min="12008" max="12244" width="9" style="1234"/>
    <col min="12245" max="12245" width="6.75" style="1234" bestFit="1" customWidth="1"/>
    <col min="12246" max="12246" width="46.375" style="1234" customWidth="1"/>
    <col min="12247" max="12247" width="8.75" style="1234" customWidth="1"/>
    <col min="12248" max="12248" width="7.5" style="1234" customWidth="1"/>
    <col min="12249" max="12249" width="8.875" style="1234" customWidth="1"/>
    <col min="12250" max="12250" width="7.875" style="1234" bestFit="1" customWidth="1"/>
    <col min="12251" max="12251" width="9" style="1234"/>
    <col min="12252" max="12252" width="12.75" style="1234" customWidth="1"/>
    <col min="12253" max="12255" width="9" style="1234"/>
    <col min="12256" max="12256" width="21.75" style="1234" customWidth="1"/>
    <col min="12257" max="12257" width="9" style="1234"/>
    <col min="12258" max="12258" width="16.875" style="1234" customWidth="1"/>
    <col min="12259" max="12261" width="9" style="1234"/>
    <col min="12262" max="12262" width="14.375" style="1234" customWidth="1"/>
    <col min="12263" max="12263" width="21.75" style="1234" customWidth="1"/>
    <col min="12264" max="12500" width="9" style="1234"/>
    <col min="12501" max="12501" width="6.75" style="1234" bestFit="1" customWidth="1"/>
    <col min="12502" max="12502" width="46.375" style="1234" customWidth="1"/>
    <col min="12503" max="12503" width="8.75" style="1234" customWidth="1"/>
    <col min="12504" max="12504" width="7.5" style="1234" customWidth="1"/>
    <col min="12505" max="12505" width="8.875" style="1234" customWidth="1"/>
    <col min="12506" max="12506" width="7.875" style="1234" bestFit="1" customWidth="1"/>
    <col min="12507" max="12507" width="9" style="1234"/>
    <col min="12508" max="12508" width="12.75" style="1234" customWidth="1"/>
    <col min="12509" max="12511" width="9" style="1234"/>
    <col min="12512" max="12512" width="21.75" style="1234" customWidth="1"/>
    <col min="12513" max="12513" width="9" style="1234"/>
    <col min="12514" max="12514" width="16.875" style="1234" customWidth="1"/>
    <col min="12515" max="12517" width="9" style="1234"/>
    <col min="12518" max="12518" width="14.375" style="1234" customWidth="1"/>
    <col min="12519" max="12519" width="21.75" style="1234" customWidth="1"/>
    <col min="12520" max="12756" width="9" style="1234"/>
    <col min="12757" max="12757" width="6.75" style="1234" bestFit="1" customWidth="1"/>
    <col min="12758" max="12758" width="46.375" style="1234" customWidth="1"/>
    <col min="12759" max="12759" width="8.75" style="1234" customWidth="1"/>
    <col min="12760" max="12760" width="7.5" style="1234" customWidth="1"/>
    <col min="12761" max="12761" width="8.875" style="1234" customWidth="1"/>
    <col min="12762" max="12762" width="7.875" style="1234" bestFit="1" customWidth="1"/>
    <col min="12763" max="12763" width="9" style="1234"/>
    <col min="12764" max="12764" width="12.75" style="1234" customWidth="1"/>
    <col min="12765" max="12767" width="9" style="1234"/>
    <col min="12768" max="12768" width="21.75" style="1234" customWidth="1"/>
    <col min="12769" max="12769" width="9" style="1234"/>
    <col min="12770" max="12770" width="16.875" style="1234" customWidth="1"/>
    <col min="12771" max="12773" width="9" style="1234"/>
    <col min="12774" max="12774" width="14.375" style="1234" customWidth="1"/>
    <col min="12775" max="12775" width="21.75" style="1234" customWidth="1"/>
    <col min="12776" max="13012" width="9" style="1234"/>
    <col min="13013" max="13013" width="6.75" style="1234" bestFit="1" customWidth="1"/>
    <col min="13014" max="13014" width="46.375" style="1234" customWidth="1"/>
    <col min="13015" max="13015" width="8.75" style="1234" customWidth="1"/>
    <col min="13016" max="13016" width="7.5" style="1234" customWidth="1"/>
    <col min="13017" max="13017" width="8.875" style="1234" customWidth="1"/>
    <col min="13018" max="13018" width="7.875" style="1234" bestFit="1" customWidth="1"/>
    <col min="13019" max="13019" width="9" style="1234"/>
    <col min="13020" max="13020" width="12.75" style="1234" customWidth="1"/>
    <col min="13021" max="13023" width="9" style="1234"/>
    <col min="13024" max="13024" width="21.75" style="1234" customWidth="1"/>
    <col min="13025" max="13025" width="9" style="1234"/>
    <col min="13026" max="13026" width="16.875" style="1234" customWidth="1"/>
    <col min="13027" max="13029" width="9" style="1234"/>
    <col min="13030" max="13030" width="14.375" style="1234" customWidth="1"/>
    <col min="13031" max="13031" width="21.75" style="1234" customWidth="1"/>
    <col min="13032" max="13268" width="9" style="1234"/>
    <col min="13269" max="13269" width="6.75" style="1234" bestFit="1" customWidth="1"/>
    <col min="13270" max="13270" width="46.375" style="1234" customWidth="1"/>
    <col min="13271" max="13271" width="8.75" style="1234" customWidth="1"/>
    <col min="13272" max="13272" width="7.5" style="1234" customWidth="1"/>
    <col min="13273" max="13273" width="8.875" style="1234" customWidth="1"/>
    <col min="13274" max="13274" width="7.875" style="1234" bestFit="1" customWidth="1"/>
    <col min="13275" max="13275" width="9" style="1234"/>
    <col min="13276" max="13276" width="12.75" style="1234" customWidth="1"/>
    <col min="13277" max="13279" width="9" style="1234"/>
    <col min="13280" max="13280" width="21.75" style="1234" customWidth="1"/>
    <col min="13281" max="13281" width="9" style="1234"/>
    <col min="13282" max="13282" width="16.875" style="1234" customWidth="1"/>
    <col min="13283" max="13285" width="9" style="1234"/>
    <col min="13286" max="13286" width="14.375" style="1234" customWidth="1"/>
    <col min="13287" max="13287" width="21.75" style="1234" customWidth="1"/>
    <col min="13288" max="13524" width="9" style="1234"/>
    <col min="13525" max="13525" width="6.75" style="1234" bestFit="1" customWidth="1"/>
    <col min="13526" max="13526" width="46.375" style="1234" customWidth="1"/>
    <col min="13527" max="13527" width="8.75" style="1234" customWidth="1"/>
    <col min="13528" max="13528" width="7.5" style="1234" customWidth="1"/>
    <col min="13529" max="13529" width="8.875" style="1234" customWidth="1"/>
    <col min="13530" max="13530" width="7.875" style="1234" bestFit="1" customWidth="1"/>
    <col min="13531" max="13531" width="9" style="1234"/>
    <col min="13532" max="13532" width="12.75" style="1234" customWidth="1"/>
    <col min="13533" max="13535" width="9" style="1234"/>
    <col min="13536" max="13536" width="21.75" style="1234" customWidth="1"/>
    <col min="13537" max="13537" width="9" style="1234"/>
    <col min="13538" max="13538" width="16.875" style="1234" customWidth="1"/>
    <col min="13539" max="13541" width="9" style="1234"/>
    <col min="13542" max="13542" width="14.375" style="1234" customWidth="1"/>
    <col min="13543" max="13543" width="21.75" style="1234" customWidth="1"/>
    <col min="13544" max="13780" width="9" style="1234"/>
    <col min="13781" max="13781" width="6.75" style="1234" bestFit="1" customWidth="1"/>
    <col min="13782" max="13782" width="46.375" style="1234" customWidth="1"/>
    <col min="13783" max="13783" width="8.75" style="1234" customWidth="1"/>
    <col min="13784" max="13784" width="7.5" style="1234" customWidth="1"/>
    <col min="13785" max="13785" width="8.875" style="1234" customWidth="1"/>
    <col min="13786" max="13786" width="7.875" style="1234" bestFit="1" customWidth="1"/>
    <col min="13787" max="13787" width="9" style="1234"/>
    <col min="13788" max="13788" width="12.75" style="1234" customWidth="1"/>
    <col min="13789" max="13791" width="9" style="1234"/>
    <col min="13792" max="13792" width="21.75" style="1234" customWidth="1"/>
    <col min="13793" max="13793" width="9" style="1234"/>
    <col min="13794" max="13794" width="16.875" style="1234" customWidth="1"/>
    <col min="13795" max="13797" width="9" style="1234"/>
    <col min="13798" max="13798" width="14.375" style="1234" customWidth="1"/>
    <col min="13799" max="13799" width="21.75" style="1234" customWidth="1"/>
    <col min="13800" max="14036" width="9" style="1234"/>
    <col min="14037" max="14037" width="6.75" style="1234" bestFit="1" customWidth="1"/>
    <col min="14038" max="14038" width="46.375" style="1234" customWidth="1"/>
    <col min="14039" max="14039" width="8.75" style="1234" customWidth="1"/>
    <col min="14040" max="14040" width="7.5" style="1234" customWidth="1"/>
    <col min="14041" max="14041" width="8.875" style="1234" customWidth="1"/>
    <col min="14042" max="14042" width="7.875" style="1234" bestFit="1" customWidth="1"/>
    <col min="14043" max="14043" width="9" style="1234"/>
    <col min="14044" max="14044" width="12.75" style="1234" customWidth="1"/>
    <col min="14045" max="14047" width="9" style="1234"/>
    <col min="14048" max="14048" width="21.75" style="1234" customWidth="1"/>
    <col min="14049" max="14049" width="9" style="1234"/>
    <col min="14050" max="14050" width="16.875" style="1234" customWidth="1"/>
    <col min="14051" max="14053" width="9" style="1234"/>
    <col min="14054" max="14054" width="14.375" style="1234" customWidth="1"/>
    <col min="14055" max="14055" width="21.75" style="1234" customWidth="1"/>
    <col min="14056" max="14292" width="9" style="1234"/>
    <col min="14293" max="14293" width="6.75" style="1234" bestFit="1" customWidth="1"/>
    <col min="14294" max="14294" width="46.375" style="1234" customWidth="1"/>
    <col min="14295" max="14295" width="8.75" style="1234" customWidth="1"/>
    <col min="14296" max="14296" width="7.5" style="1234" customWidth="1"/>
    <col min="14297" max="14297" width="8.875" style="1234" customWidth="1"/>
    <col min="14298" max="14298" width="7.875" style="1234" bestFit="1" customWidth="1"/>
    <col min="14299" max="14299" width="9" style="1234"/>
    <col min="14300" max="14300" width="12.75" style="1234" customWidth="1"/>
    <col min="14301" max="14303" width="9" style="1234"/>
    <col min="14304" max="14304" width="21.75" style="1234" customWidth="1"/>
    <col min="14305" max="14305" width="9" style="1234"/>
    <col min="14306" max="14306" width="16.875" style="1234" customWidth="1"/>
    <col min="14307" max="14309" width="9" style="1234"/>
    <col min="14310" max="14310" width="14.375" style="1234" customWidth="1"/>
    <col min="14311" max="14311" width="21.75" style="1234" customWidth="1"/>
    <col min="14312" max="14548" width="9" style="1234"/>
    <col min="14549" max="14549" width="6.75" style="1234" bestFit="1" customWidth="1"/>
    <col min="14550" max="14550" width="46.375" style="1234" customWidth="1"/>
    <col min="14551" max="14551" width="8.75" style="1234" customWidth="1"/>
    <col min="14552" max="14552" width="7.5" style="1234" customWidth="1"/>
    <col min="14553" max="14553" width="8.875" style="1234" customWidth="1"/>
    <col min="14554" max="14554" width="7.875" style="1234" bestFit="1" customWidth="1"/>
    <col min="14555" max="14555" width="9" style="1234"/>
    <col min="14556" max="14556" width="12.75" style="1234" customWidth="1"/>
    <col min="14557" max="14559" width="9" style="1234"/>
    <col min="14560" max="14560" width="21.75" style="1234" customWidth="1"/>
    <col min="14561" max="14561" width="9" style="1234"/>
    <col min="14562" max="14562" width="16.875" style="1234" customWidth="1"/>
    <col min="14563" max="14565" width="9" style="1234"/>
    <col min="14566" max="14566" width="14.375" style="1234" customWidth="1"/>
    <col min="14567" max="14567" width="21.75" style="1234" customWidth="1"/>
    <col min="14568" max="14804" width="9" style="1234"/>
    <col min="14805" max="14805" width="6.75" style="1234" bestFit="1" customWidth="1"/>
    <col min="14806" max="14806" width="46.375" style="1234" customWidth="1"/>
    <col min="14807" max="14807" width="8.75" style="1234" customWidth="1"/>
    <col min="14808" max="14808" width="7.5" style="1234" customWidth="1"/>
    <col min="14809" max="14809" width="8.875" style="1234" customWidth="1"/>
    <col min="14810" max="14810" width="7.875" style="1234" bestFit="1" customWidth="1"/>
    <col min="14811" max="14811" width="9" style="1234"/>
    <col min="14812" max="14812" width="12.75" style="1234" customWidth="1"/>
    <col min="14813" max="14815" width="9" style="1234"/>
    <col min="14816" max="14816" width="21.75" style="1234" customWidth="1"/>
    <col min="14817" max="14817" width="9" style="1234"/>
    <col min="14818" max="14818" width="16.875" style="1234" customWidth="1"/>
    <col min="14819" max="14821" width="9" style="1234"/>
    <col min="14822" max="14822" width="14.375" style="1234" customWidth="1"/>
    <col min="14823" max="14823" width="21.75" style="1234" customWidth="1"/>
    <col min="14824" max="15060" width="9" style="1234"/>
    <col min="15061" max="15061" width="6.75" style="1234" bestFit="1" customWidth="1"/>
    <col min="15062" max="15062" width="46.375" style="1234" customWidth="1"/>
    <col min="15063" max="15063" width="8.75" style="1234" customWidth="1"/>
    <col min="15064" max="15064" width="7.5" style="1234" customWidth="1"/>
    <col min="15065" max="15065" width="8.875" style="1234" customWidth="1"/>
    <col min="15066" max="15066" width="7.875" style="1234" bestFit="1" customWidth="1"/>
    <col min="15067" max="15067" width="9" style="1234"/>
    <col min="15068" max="15068" width="12.75" style="1234" customWidth="1"/>
    <col min="15069" max="15071" width="9" style="1234"/>
    <col min="15072" max="15072" width="21.75" style="1234" customWidth="1"/>
    <col min="15073" max="15073" width="9" style="1234"/>
    <col min="15074" max="15074" width="16.875" style="1234" customWidth="1"/>
    <col min="15075" max="15077" width="9" style="1234"/>
    <col min="15078" max="15078" width="14.375" style="1234" customWidth="1"/>
    <col min="15079" max="15079" width="21.75" style="1234" customWidth="1"/>
    <col min="15080" max="15316" width="9" style="1234"/>
    <col min="15317" max="15317" width="6.75" style="1234" bestFit="1" customWidth="1"/>
    <col min="15318" max="15318" width="46.375" style="1234" customWidth="1"/>
    <col min="15319" max="15319" width="8.75" style="1234" customWidth="1"/>
    <col min="15320" max="15320" width="7.5" style="1234" customWidth="1"/>
    <col min="15321" max="15321" width="8.875" style="1234" customWidth="1"/>
    <col min="15322" max="15322" width="7.875" style="1234" bestFit="1" customWidth="1"/>
    <col min="15323" max="15323" width="9" style="1234"/>
    <col min="15324" max="15324" width="12.75" style="1234" customWidth="1"/>
    <col min="15325" max="15327" width="9" style="1234"/>
    <col min="15328" max="15328" width="21.75" style="1234" customWidth="1"/>
    <col min="15329" max="15329" width="9" style="1234"/>
    <col min="15330" max="15330" width="16.875" style="1234" customWidth="1"/>
    <col min="15331" max="15333" width="9" style="1234"/>
    <col min="15334" max="15334" width="14.375" style="1234" customWidth="1"/>
    <col min="15335" max="15335" width="21.75" style="1234" customWidth="1"/>
    <col min="15336" max="15572" width="9" style="1234"/>
    <col min="15573" max="15573" width="6.75" style="1234" bestFit="1" customWidth="1"/>
    <col min="15574" max="15574" width="46.375" style="1234" customWidth="1"/>
    <col min="15575" max="15575" width="8.75" style="1234" customWidth="1"/>
    <col min="15576" max="15576" width="7.5" style="1234" customWidth="1"/>
    <col min="15577" max="15577" width="8.875" style="1234" customWidth="1"/>
    <col min="15578" max="15578" width="7.875" style="1234" bestFit="1" customWidth="1"/>
    <col min="15579" max="15579" width="9" style="1234"/>
    <col min="15580" max="15580" width="12.75" style="1234" customWidth="1"/>
    <col min="15581" max="15583" width="9" style="1234"/>
    <col min="15584" max="15584" width="21.75" style="1234" customWidth="1"/>
    <col min="15585" max="15585" width="9" style="1234"/>
    <col min="15586" max="15586" width="16.875" style="1234" customWidth="1"/>
    <col min="15587" max="15589" width="9" style="1234"/>
    <col min="15590" max="15590" width="14.375" style="1234" customWidth="1"/>
    <col min="15591" max="15591" width="21.75" style="1234" customWidth="1"/>
    <col min="15592" max="15828" width="9" style="1234"/>
    <col min="15829" max="15829" width="6.75" style="1234" bestFit="1" customWidth="1"/>
    <col min="15830" max="15830" width="46.375" style="1234" customWidth="1"/>
    <col min="15831" max="15831" width="8.75" style="1234" customWidth="1"/>
    <col min="15832" max="15832" width="7.5" style="1234" customWidth="1"/>
    <col min="15833" max="15833" width="8.875" style="1234" customWidth="1"/>
    <col min="15834" max="15834" width="7.875" style="1234" bestFit="1" customWidth="1"/>
    <col min="15835" max="15835" width="9" style="1234"/>
    <col min="15836" max="15836" width="12.75" style="1234" customWidth="1"/>
    <col min="15837" max="15839" width="9" style="1234"/>
    <col min="15840" max="15840" width="21.75" style="1234" customWidth="1"/>
    <col min="15841" max="15841" width="9" style="1234"/>
    <col min="15842" max="15842" width="16.875" style="1234" customWidth="1"/>
    <col min="15843" max="15845" width="9" style="1234"/>
    <col min="15846" max="15846" width="14.375" style="1234" customWidth="1"/>
    <col min="15847" max="15847" width="21.75" style="1234" customWidth="1"/>
    <col min="15848" max="16084" width="9" style="1234"/>
    <col min="16085" max="16085" width="6.75" style="1234" bestFit="1" customWidth="1"/>
    <col min="16086" max="16086" width="46.375" style="1234" customWidth="1"/>
    <col min="16087" max="16087" width="8.75" style="1234" customWidth="1"/>
    <col min="16088" max="16088" width="7.5" style="1234" customWidth="1"/>
    <col min="16089" max="16089" width="8.875" style="1234" customWidth="1"/>
    <col min="16090" max="16090" width="7.875" style="1234" bestFit="1" customWidth="1"/>
    <col min="16091" max="16091" width="9" style="1234"/>
    <col min="16092" max="16092" width="12.75" style="1234" customWidth="1"/>
    <col min="16093" max="16095" width="9" style="1234"/>
    <col min="16096" max="16096" width="21.75" style="1234" customWidth="1"/>
    <col min="16097" max="16097" width="9" style="1234"/>
    <col min="16098" max="16098" width="16.875" style="1234" customWidth="1"/>
    <col min="16099" max="16101" width="9" style="1234"/>
    <col min="16102" max="16102" width="14.375" style="1234" customWidth="1"/>
    <col min="16103" max="16103" width="21.75" style="1234" customWidth="1"/>
    <col min="16104" max="16384" width="9" style="1234"/>
  </cols>
  <sheetData>
    <row r="1" spans="1:11" s="1229" customFormat="1" ht="19.350000000000001" customHeight="1">
      <c r="A1" s="1226"/>
      <c r="B1" s="1227" t="s">
        <v>2906</v>
      </c>
      <c r="C1" s="1228"/>
      <c r="E1" s="1224" t="s">
        <v>2907</v>
      </c>
      <c r="F1" s="1224"/>
      <c r="G1" s="1224"/>
      <c r="H1" s="1224"/>
      <c r="I1" s="1224"/>
      <c r="J1" s="1224"/>
      <c r="K1" s="1224"/>
    </row>
    <row r="2" spans="1:11" s="1232" customFormat="1" ht="27.75" customHeight="1">
      <c r="A2" s="1226"/>
      <c r="B2" s="1230" t="s">
        <v>2908</v>
      </c>
      <c r="C2" s="1231"/>
      <c r="E2" s="1225" t="s">
        <v>2909</v>
      </c>
      <c r="F2" s="1225"/>
      <c r="G2" s="1225"/>
      <c r="H2" s="1225"/>
      <c r="I2" s="1225"/>
      <c r="J2" s="1225"/>
      <c r="K2" s="1225"/>
    </row>
    <row r="3" spans="1:11" s="1234" customFormat="1" ht="40.5" customHeight="1">
      <c r="A3" s="1233" t="s">
        <v>2904</v>
      </c>
      <c r="B3" s="1233"/>
      <c r="C3" s="1233"/>
      <c r="D3" s="1233"/>
      <c r="E3" s="1233"/>
      <c r="F3" s="1233"/>
      <c r="G3" s="1233"/>
      <c r="H3" s="1233"/>
      <c r="I3" s="1233"/>
      <c r="J3" s="1233"/>
      <c r="K3" s="1233"/>
    </row>
    <row r="4" spans="1:11" s="1236" customFormat="1" ht="18.75" customHeight="1">
      <c r="A4" s="1235" t="s">
        <v>2905</v>
      </c>
      <c r="B4" s="1235"/>
      <c r="C4" s="1235"/>
      <c r="D4" s="1235"/>
      <c r="E4" s="1235"/>
      <c r="F4" s="1235"/>
      <c r="G4" s="1235"/>
      <c r="H4" s="1235"/>
      <c r="I4" s="1235"/>
      <c r="J4" s="1235"/>
      <c r="K4" s="1235"/>
    </row>
    <row r="5" spans="1:11" s="1234" customFormat="1" ht="18" customHeight="1">
      <c r="A5" s="1237" t="s">
        <v>136</v>
      </c>
      <c r="B5" s="1238" t="s">
        <v>2834</v>
      </c>
      <c r="C5" s="1239"/>
      <c r="D5" s="1239"/>
      <c r="E5" s="1240"/>
      <c r="F5" s="1241"/>
      <c r="G5" s="1238" t="s">
        <v>2833</v>
      </c>
      <c r="H5" s="1239"/>
      <c r="I5" s="1239"/>
      <c r="J5" s="1239"/>
      <c r="K5" s="1240"/>
    </row>
    <row r="6" spans="1:11" s="1234" customFormat="1" ht="51">
      <c r="A6" s="1237"/>
      <c r="B6" s="1241" t="s">
        <v>2028</v>
      </c>
      <c r="C6" s="1242" t="s">
        <v>2902</v>
      </c>
      <c r="D6" s="1241" t="s">
        <v>2029</v>
      </c>
      <c r="E6" s="1242" t="s">
        <v>2903</v>
      </c>
      <c r="F6" s="1241" t="s">
        <v>2030</v>
      </c>
      <c r="G6" s="1241" t="s">
        <v>2028</v>
      </c>
      <c r="H6" s="1242" t="s">
        <v>2902</v>
      </c>
      <c r="I6" s="1241" t="s">
        <v>2029</v>
      </c>
      <c r="J6" s="1242" t="s">
        <v>2903</v>
      </c>
      <c r="K6" s="1241" t="s">
        <v>2835</v>
      </c>
    </row>
    <row r="7" spans="1:11" s="1247" customFormat="1" hidden="1">
      <c r="A7" s="1241">
        <v>82</v>
      </c>
      <c r="B7" s="1243" t="s">
        <v>2015</v>
      </c>
      <c r="C7" s="1155">
        <f>SUM(C8:C20)</f>
        <v>950</v>
      </c>
      <c r="D7" s="1241"/>
      <c r="E7" s="1155">
        <f>SUM(E8:E20)</f>
        <v>95</v>
      </c>
      <c r="F7" s="1244"/>
      <c r="G7" s="1245"/>
      <c r="H7" s="1246"/>
      <c r="I7" s="1241"/>
      <c r="J7" s="1246"/>
      <c r="K7" s="1241"/>
    </row>
    <row r="8" spans="1:11" s="1234" customFormat="1" hidden="1">
      <c r="A8" s="1248" t="s">
        <v>2647</v>
      </c>
      <c r="B8" s="1249" t="s">
        <v>2142</v>
      </c>
      <c r="C8" s="1156">
        <v>40</v>
      </c>
      <c r="D8" s="1248" t="s">
        <v>207</v>
      </c>
      <c r="E8" s="1250">
        <v>4</v>
      </c>
      <c r="F8" s="1251" t="s">
        <v>2031</v>
      </c>
      <c r="G8" s="1252"/>
      <c r="H8" s="1253"/>
      <c r="I8" s="1248"/>
      <c r="J8" s="1253"/>
      <c r="K8" s="1248"/>
    </row>
    <row r="9" spans="1:11" s="1234" customFormat="1" ht="25.5" hidden="1">
      <c r="A9" s="1248" t="s">
        <v>2648</v>
      </c>
      <c r="B9" s="1249" t="s">
        <v>2143</v>
      </c>
      <c r="C9" s="1156">
        <v>40</v>
      </c>
      <c r="D9" s="1248" t="s">
        <v>207</v>
      </c>
      <c r="E9" s="1250">
        <v>4</v>
      </c>
      <c r="F9" s="1251" t="s">
        <v>2031</v>
      </c>
      <c r="G9" s="1252"/>
      <c r="H9" s="1253"/>
      <c r="I9" s="1248"/>
      <c r="J9" s="1253"/>
      <c r="K9" s="1248"/>
    </row>
    <row r="10" spans="1:11" s="1234" customFormat="1" hidden="1">
      <c r="A10" s="1248" t="s">
        <v>2649</v>
      </c>
      <c r="B10" s="1249" t="s">
        <v>2144</v>
      </c>
      <c r="C10" s="1156">
        <v>100</v>
      </c>
      <c r="D10" s="1248" t="s">
        <v>207</v>
      </c>
      <c r="E10" s="1250">
        <v>10</v>
      </c>
      <c r="F10" s="1251" t="s">
        <v>2031</v>
      </c>
      <c r="G10" s="1252"/>
      <c r="H10" s="1253"/>
      <c r="I10" s="1248"/>
      <c r="J10" s="1253"/>
      <c r="K10" s="1248"/>
    </row>
    <row r="11" spans="1:11" s="1234" customFormat="1" ht="25.5" hidden="1">
      <c r="A11" s="1248" t="s">
        <v>2650</v>
      </c>
      <c r="B11" s="1249" t="s">
        <v>2145</v>
      </c>
      <c r="C11" s="1156">
        <v>40</v>
      </c>
      <c r="D11" s="1248" t="s">
        <v>207</v>
      </c>
      <c r="E11" s="1250">
        <v>4</v>
      </c>
      <c r="F11" s="1251" t="s">
        <v>2031</v>
      </c>
      <c r="G11" s="1252"/>
      <c r="H11" s="1253"/>
      <c r="I11" s="1248"/>
      <c r="J11" s="1253"/>
      <c r="K11" s="1248"/>
    </row>
    <row r="12" spans="1:11" s="1234" customFormat="1" ht="25.5" hidden="1">
      <c r="A12" s="1248" t="s">
        <v>2651</v>
      </c>
      <c r="B12" s="1249" t="s">
        <v>2146</v>
      </c>
      <c r="C12" s="1156">
        <v>60</v>
      </c>
      <c r="D12" s="1248" t="s">
        <v>207</v>
      </c>
      <c r="E12" s="1250">
        <v>6</v>
      </c>
      <c r="F12" s="1251" t="s">
        <v>2031</v>
      </c>
      <c r="G12" s="1252"/>
      <c r="H12" s="1253"/>
      <c r="I12" s="1248"/>
      <c r="J12" s="1253"/>
      <c r="K12" s="1248"/>
    </row>
    <row r="13" spans="1:11" s="1234" customFormat="1" hidden="1">
      <c r="A13" s="1248" t="s">
        <v>2652</v>
      </c>
      <c r="B13" s="1249" t="s">
        <v>2147</v>
      </c>
      <c r="C13" s="1156">
        <v>50</v>
      </c>
      <c r="D13" s="1248" t="s">
        <v>207</v>
      </c>
      <c r="E13" s="1250">
        <v>5</v>
      </c>
      <c r="F13" s="1251" t="s">
        <v>2031</v>
      </c>
      <c r="G13" s="1252"/>
      <c r="H13" s="1253"/>
      <c r="I13" s="1248"/>
      <c r="J13" s="1253"/>
      <c r="K13" s="1248"/>
    </row>
    <row r="14" spans="1:11" s="1234" customFormat="1" ht="25.5" hidden="1">
      <c r="A14" s="1248" t="s">
        <v>2653</v>
      </c>
      <c r="B14" s="1249" t="s">
        <v>2148</v>
      </c>
      <c r="C14" s="1156">
        <v>50</v>
      </c>
      <c r="D14" s="1248" t="s">
        <v>207</v>
      </c>
      <c r="E14" s="1250">
        <v>5</v>
      </c>
      <c r="F14" s="1251" t="s">
        <v>2031</v>
      </c>
      <c r="G14" s="1252"/>
      <c r="H14" s="1253"/>
      <c r="I14" s="1248"/>
      <c r="J14" s="1253"/>
      <c r="K14" s="1248"/>
    </row>
    <row r="15" spans="1:11" s="1234" customFormat="1" ht="25.5" hidden="1">
      <c r="A15" s="1248" t="s">
        <v>2654</v>
      </c>
      <c r="B15" s="1249" t="s">
        <v>2149</v>
      </c>
      <c r="C15" s="1156">
        <v>150</v>
      </c>
      <c r="D15" s="1248" t="s">
        <v>207</v>
      </c>
      <c r="E15" s="1250">
        <v>15</v>
      </c>
      <c r="F15" s="1251" t="s">
        <v>2031</v>
      </c>
      <c r="G15" s="1252"/>
      <c r="H15" s="1253"/>
      <c r="I15" s="1248"/>
      <c r="J15" s="1253"/>
      <c r="K15" s="1248"/>
    </row>
    <row r="16" spans="1:11" s="1234" customFormat="1" ht="25.5" hidden="1">
      <c r="A16" s="1248" t="s">
        <v>2655</v>
      </c>
      <c r="B16" s="1249" t="s">
        <v>2150</v>
      </c>
      <c r="C16" s="1157">
        <v>100</v>
      </c>
      <c r="D16" s="1248" t="s">
        <v>207</v>
      </c>
      <c r="E16" s="1250">
        <v>10</v>
      </c>
      <c r="F16" s="1251" t="s">
        <v>2031</v>
      </c>
      <c r="G16" s="1252"/>
      <c r="H16" s="1253"/>
      <c r="I16" s="1248"/>
      <c r="J16" s="1253"/>
      <c r="K16" s="1248"/>
    </row>
    <row r="17" spans="1:11" s="1234" customFormat="1" ht="25.5" hidden="1">
      <c r="A17" s="1248" t="s">
        <v>2656</v>
      </c>
      <c r="B17" s="1249" t="s">
        <v>2151</v>
      </c>
      <c r="C17" s="1157">
        <v>60</v>
      </c>
      <c r="D17" s="1248" t="s">
        <v>207</v>
      </c>
      <c r="E17" s="1250">
        <v>6</v>
      </c>
      <c r="F17" s="1251" t="s">
        <v>2031</v>
      </c>
      <c r="G17" s="1252"/>
      <c r="H17" s="1253"/>
      <c r="I17" s="1248"/>
      <c r="J17" s="1253"/>
      <c r="K17" s="1248"/>
    </row>
    <row r="18" spans="1:11" s="1234" customFormat="1" ht="25.5" hidden="1">
      <c r="A18" s="1248" t="s">
        <v>2657</v>
      </c>
      <c r="B18" s="1249" t="s">
        <v>2152</v>
      </c>
      <c r="C18" s="1157">
        <v>100</v>
      </c>
      <c r="D18" s="1248" t="s">
        <v>207</v>
      </c>
      <c r="E18" s="1250">
        <v>10</v>
      </c>
      <c r="F18" s="1251" t="s">
        <v>2031</v>
      </c>
      <c r="G18" s="1252"/>
      <c r="H18" s="1253"/>
      <c r="I18" s="1248"/>
      <c r="J18" s="1253"/>
      <c r="K18" s="1248"/>
    </row>
    <row r="19" spans="1:11" s="1234" customFormat="1" ht="25.5" hidden="1">
      <c r="A19" s="1248" t="s">
        <v>2658</v>
      </c>
      <c r="B19" s="1249" t="s">
        <v>2153</v>
      </c>
      <c r="C19" s="1157">
        <v>100</v>
      </c>
      <c r="D19" s="1248" t="s">
        <v>207</v>
      </c>
      <c r="E19" s="1250">
        <v>10</v>
      </c>
      <c r="F19" s="1251" t="s">
        <v>2031</v>
      </c>
      <c r="G19" s="1252"/>
      <c r="H19" s="1253"/>
      <c r="I19" s="1248"/>
      <c r="J19" s="1253"/>
      <c r="K19" s="1248"/>
    </row>
    <row r="20" spans="1:11" s="1234" customFormat="1" ht="25.5" hidden="1">
      <c r="A20" s="1248" t="s">
        <v>2659</v>
      </c>
      <c r="B20" s="1249" t="s">
        <v>2154</v>
      </c>
      <c r="C20" s="1157">
        <v>60</v>
      </c>
      <c r="D20" s="1248" t="s">
        <v>207</v>
      </c>
      <c r="E20" s="1250">
        <v>6</v>
      </c>
      <c r="F20" s="1251" t="s">
        <v>2031</v>
      </c>
      <c r="G20" s="1252"/>
      <c r="H20" s="1253"/>
      <c r="I20" s="1248"/>
      <c r="J20" s="1253"/>
      <c r="K20" s="1248"/>
    </row>
    <row r="21" spans="1:11" s="1247" customFormat="1" hidden="1">
      <c r="A21" s="1241">
        <v>83</v>
      </c>
      <c r="B21" s="1243" t="s">
        <v>2016</v>
      </c>
      <c r="C21" s="1155">
        <f>SUM(C22:C40)</f>
        <v>763</v>
      </c>
      <c r="D21" s="1241"/>
      <c r="E21" s="1155">
        <f>SUM(E22:E40)</f>
        <v>90.319199999999995</v>
      </c>
      <c r="F21" s="1244"/>
      <c r="G21" s="1245"/>
      <c r="H21" s="1246"/>
      <c r="I21" s="1241"/>
      <c r="J21" s="1246"/>
      <c r="K21" s="1241"/>
    </row>
    <row r="22" spans="1:11" s="1234" customFormat="1" hidden="1">
      <c r="A22" s="1248" t="s">
        <v>2660</v>
      </c>
      <c r="B22" s="1249" t="s">
        <v>2155</v>
      </c>
      <c r="C22" s="1156">
        <v>40</v>
      </c>
      <c r="D22" s="1248" t="s">
        <v>207</v>
      </c>
      <c r="E22" s="1250">
        <v>4</v>
      </c>
      <c r="F22" s="1251" t="s">
        <v>2031</v>
      </c>
      <c r="G22" s="1252"/>
      <c r="H22" s="1253"/>
      <c r="I22" s="1248"/>
      <c r="J22" s="1253"/>
      <c r="K22" s="1248"/>
    </row>
    <row r="23" spans="1:11" s="1234" customFormat="1" hidden="1">
      <c r="A23" s="1248" t="s">
        <v>2661</v>
      </c>
      <c r="B23" s="1249" t="s">
        <v>2156</v>
      </c>
      <c r="C23" s="1156">
        <v>110</v>
      </c>
      <c r="D23" s="1248" t="s">
        <v>570</v>
      </c>
      <c r="E23" s="1250">
        <v>17.292000000000002</v>
      </c>
      <c r="F23" s="1251" t="s">
        <v>2031</v>
      </c>
      <c r="G23" s="1252"/>
      <c r="H23" s="1253"/>
      <c r="I23" s="1248"/>
      <c r="J23" s="1253"/>
      <c r="K23" s="1248"/>
    </row>
    <row r="24" spans="1:11" s="1234" customFormat="1" hidden="1">
      <c r="A24" s="1248" t="s">
        <v>2662</v>
      </c>
      <c r="B24" s="1249" t="s">
        <v>2157</v>
      </c>
      <c r="C24" s="1156">
        <v>20</v>
      </c>
      <c r="D24" s="1248" t="s">
        <v>570</v>
      </c>
      <c r="E24" s="1250">
        <v>3.1440000000000001</v>
      </c>
      <c r="F24" s="1251" t="s">
        <v>2031</v>
      </c>
      <c r="G24" s="1252"/>
      <c r="H24" s="1253"/>
      <c r="I24" s="1248"/>
      <c r="J24" s="1253"/>
      <c r="K24" s="1248"/>
    </row>
    <row r="25" spans="1:11" s="1234" customFormat="1" hidden="1">
      <c r="A25" s="1248" t="s">
        <v>2663</v>
      </c>
      <c r="B25" s="1249" t="s">
        <v>2158</v>
      </c>
      <c r="C25" s="1156">
        <v>45</v>
      </c>
      <c r="D25" s="1248" t="s">
        <v>2032</v>
      </c>
      <c r="E25" s="1250">
        <v>3.6</v>
      </c>
      <c r="F25" s="1251" t="s">
        <v>2031</v>
      </c>
      <c r="G25" s="1252"/>
      <c r="H25" s="1253"/>
      <c r="I25" s="1248"/>
      <c r="J25" s="1253"/>
      <c r="K25" s="1248"/>
    </row>
    <row r="26" spans="1:11" s="1234" customFormat="1" ht="25.5" hidden="1">
      <c r="A26" s="1248" t="s">
        <v>2664</v>
      </c>
      <c r="B26" s="1249" t="s">
        <v>2159</v>
      </c>
      <c r="C26" s="1156">
        <v>30</v>
      </c>
      <c r="D26" s="1248" t="s">
        <v>2032</v>
      </c>
      <c r="E26" s="1250">
        <v>2.4</v>
      </c>
      <c r="F26" s="1251" t="s">
        <v>2031</v>
      </c>
      <c r="G26" s="1252"/>
      <c r="H26" s="1253"/>
      <c r="I26" s="1248"/>
      <c r="J26" s="1253"/>
      <c r="K26" s="1248"/>
    </row>
    <row r="27" spans="1:11" s="1234" customFormat="1" hidden="1">
      <c r="A27" s="1248" t="s">
        <v>2665</v>
      </c>
      <c r="B27" s="1249" t="s">
        <v>2160</v>
      </c>
      <c r="C27" s="1156">
        <v>40</v>
      </c>
      <c r="D27" s="1248" t="s">
        <v>2032</v>
      </c>
      <c r="E27" s="1250">
        <v>3.2</v>
      </c>
      <c r="F27" s="1251" t="s">
        <v>2031</v>
      </c>
      <c r="G27" s="1252"/>
      <c r="H27" s="1253"/>
      <c r="I27" s="1248"/>
      <c r="J27" s="1253"/>
      <c r="K27" s="1248"/>
    </row>
    <row r="28" spans="1:11" s="1234" customFormat="1" hidden="1">
      <c r="A28" s="1248" t="s">
        <v>2666</v>
      </c>
      <c r="B28" s="1249" t="s">
        <v>2161</v>
      </c>
      <c r="C28" s="1156">
        <v>45</v>
      </c>
      <c r="D28" s="1248" t="s">
        <v>2032</v>
      </c>
      <c r="E28" s="1250">
        <v>3.6</v>
      </c>
      <c r="F28" s="1251" t="s">
        <v>2031</v>
      </c>
      <c r="G28" s="1252"/>
      <c r="H28" s="1253"/>
      <c r="I28" s="1248"/>
      <c r="J28" s="1253"/>
      <c r="K28" s="1248"/>
    </row>
    <row r="29" spans="1:11" s="1234" customFormat="1" hidden="1">
      <c r="A29" s="1248" t="s">
        <v>2667</v>
      </c>
      <c r="B29" s="1249" t="s">
        <v>2162</v>
      </c>
      <c r="C29" s="1156">
        <v>50</v>
      </c>
      <c r="D29" s="1248" t="s">
        <v>207</v>
      </c>
      <c r="E29" s="1250">
        <v>5</v>
      </c>
      <c r="F29" s="1251" t="s">
        <v>2031</v>
      </c>
      <c r="G29" s="1252"/>
      <c r="H29" s="1253"/>
      <c r="I29" s="1248"/>
      <c r="J29" s="1253"/>
      <c r="K29" s="1248"/>
    </row>
    <row r="30" spans="1:11" s="1234" customFormat="1" hidden="1">
      <c r="A30" s="1248" t="s">
        <v>2668</v>
      </c>
      <c r="B30" s="1249" t="s">
        <v>2163</v>
      </c>
      <c r="C30" s="1156">
        <v>120</v>
      </c>
      <c r="D30" s="1248" t="s">
        <v>570</v>
      </c>
      <c r="E30" s="1250">
        <v>18.864000000000001</v>
      </c>
      <c r="F30" s="1251" t="s">
        <v>2031</v>
      </c>
      <c r="G30" s="1252"/>
      <c r="H30" s="1253"/>
      <c r="I30" s="1248"/>
      <c r="J30" s="1253"/>
      <c r="K30" s="1248"/>
    </row>
    <row r="31" spans="1:11" s="1234" customFormat="1" hidden="1">
      <c r="A31" s="1248" t="s">
        <v>2669</v>
      </c>
      <c r="B31" s="1249" t="s">
        <v>2164</v>
      </c>
      <c r="C31" s="1156">
        <v>27</v>
      </c>
      <c r="D31" s="1248" t="s">
        <v>207</v>
      </c>
      <c r="E31" s="1250">
        <v>2.7</v>
      </c>
      <c r="F31" s="1251" t="s">
        <v>2031</v>
      </c>
      <c r="G31" s="1252"/>
      <c r="H31" s="1253"/>
      <c r="I31" s="1248"/>
      <c r="J31" s="1253"/>
      <c r="K31" s="1248"/>
    </row>
    <row r="32" spans="1:11" s="1234" customFormat="1" hidden="1">
      <c r="A32" s="1248" t="s">
        <v>2670</v>
      </c>
      <c r="B32" s="1249" t="s">
        <v>2165</v>
      </c>
      <c r="C32" s="1156">
        <v>38</v>
      </c>
      <c r="D32" s="1248" t="s">
        <v>207</v>
      </c>
      <c r="E32" s="1250">
        <v>3.8</v>
      </c>
      <c r="F32" s="1251" t="s">
        <v>2031</v>
      </c>
      <c r="G32" s="1252"/>
      <c r="H32" s="1253"/>
      <c r="I32" s="1248"/>
      <c r="J32" s="1253"/>
      <c r="K32" s="1248"/>
    </row>
    <row r="33" spans="1:11" s="1234" customFormat="1" hidden="1">
      <c r="A33" s="1248" t="s">
        <v>2671</v>
      </c>
      <c r="B33" s="1249" t="s">
        <v>2166</v>
      </c>
      <c r="C33" s="1156">
        <v>26</v>
      </c>
      <c r="D33" s="1248" t="s">
        <v>570</v>
      </c>
      <c r="E33" s="1250">
        <v>4.0872000000000002</v>
      </c>
      <c r="F33" s="1251" t="s">
        <v>2031</v>
      </c>
      <c r="G33" s="1252"/>
      <c r="H33" s="1253"/>
      <c r="I33" s="1248"/>
      <c r="J33" s="1253"/>
      <c r="K33" s="1248"/>
    </row>
    <row r="34" spans="1:11" s="1234" customFormat="1" hidden="1">
      <c r="A34" s="1248" t="s">
        <v>2672</v>
      </c>
      <c r="B34" s="1249" t="s">
        <v>2167</v>
      </c>
      <c r="C34" s="1156">
        <v>35</v>
      </c>
      <c r="D34" s="1248" t="s">
        <v>207</v>
      </c>
      <c r="E34" s="1250">
        <v>3.5</v>
      </c>
      <c r="F34" s="1251" t="s">
        <v>2031</v>
      </c>
      <c r="G34" s="1252"/>
      <c r="H34" s="1253"/>
      <c r="I34" s="1248"/>
      <c r="J34" s="1253"/>
      <c r="K34" s="1248"/>
    </row>
    <row r="35" spans="1:11" s="1234" customFormat="1" hidden="1">
      <c r="A35" s="1248" t="s">
        <v>2673</v>
      </c>
      <c r="B35" s="1249" t="s">
        <v>2168</v>
      </c>
      <c r="C35" s="1156">
        <v>25</v>
      </c>
      <c r="D35" s="1248" t="s">
        <v>2032</v>
      </c>
      <c r="E35" s="1250">
        <v>2</v>
      </c>
      <c r="F35" s="1251" t="s">
        <v>2031</v>
      </c>
      <c r="G35" s="1252"/>
      <c r="H35" s="1253"/>
      <c r="I35" s="1248"/>
      <c r="J35" s="1253"/>
      <c r="K35" s="1248"/>
    </row>
    <row r="36" spans="1:11" s="1234" customFormat="1" hidden="1">
      <c r="A36" s="1248" t="s">
        <v>2674</v>
      </c>
      <c r="B36" s="1249" t="s">
        <v>2169</v>
      </c>
      <c r="C36" s="1156">
        <v>20</v>
      </c>
      <c r="D36" s="1248" t="s">
        <v>2032</v>
      </c>
      <c r="E36" s="1250">
        <v>1.6</v>
      </c>
      <c r="F36" s="1251" t="s">
        <v>2031</v>
      </c>
      <c r="G36" s="1252"/>
      <c r="H36" s="1253"/>
      <c r="I36" s="1248"/>
      <c r="J36" s="1253"/>
      <c r="K36" s="1248"/>
    </row>
    <row r="37" spans="1:11" s="1234" customFormat="1" hidden="1">
      <c r="A37" s="1248" t="s">
        <v>2675</v>
      </c>
      <c r="B37" s="1249" t="s">
        <v>2170</v>
      </c>
      <c r="C37" s="1156">
        <v>12</v>
      </c>
      <c r="D37" s="1248" t="s">
        <v>2032</v>
      </c>
      <c r="E37" s="1250">
        <v>0.96</v>
      </c>
      <c r="F37" s="1251" t="s">
        <v>2031</v>
      </c>
      <c r="G37" s="1252"/>
      <c r="H37" s="1253"/>
      <c r="I37" s="1248"/>
      <c r="J37" s="1253"/>
      <c r="K37" s="1248"/>
    </row>
    <row r="38" spans="1:11" s="1234" customFormat="1" hidden="1">
      <c r="A38" s="1248" t="s">
        <v>2676</v>
      </c>
      <c r="B38" s="1249" t="s">
        <v>2171</v>
      </c>
      <c r="C38" s="1156">
        <v>25</v>
      </c>
      <c r="D38" s="1248" t="s">
        <v>2032</v>
      </c>
      <c r="E38" s="1250">
        <v>2</v>
      </c>
      <c r="F38" s="1251" t="s">
        <v>2031</v>
      </c>
      <c r="G38" s="1252"/>
      <c r="H38" s="1253"/>
      <c r="I38" s="1248"/>
      <c r="J38" s="1253"/>
      <c r="K38" s="1248"/>
    </row>
    <row r="39" spans="1:11" s="1234" customFormat="1" hidden="1">
      <c r="A39" s="1248" t="s">
        <v>2677</v>
      </c>
      <c r="B39" s="1249" t="s">
        <v>2172</v>
      </c>
      <c r="C39" s="1156">
        <v>10</v>
      </c>
      <c r="D39" s="1248" t="s">
        <v>570</v>
      </c>
      <c r="E39" s="1250">
        <v>1.5720000000000001</v>
      </c>
      <c r="F39" s="1251" t="s">
        <v>2031</v>
      </c>
      <c r="G39" s="1252"/>
      <c r="H39" s="1253"/>
      <c r="I39" s="1248"/>
      <c r="J39" s="1253"/>
      <c r="K39" s="1248"/>
    </row>
    <row r="40" spans="1:11" s="1234" customFormat="1" hidden="1">
      <c r="A40" s="1248" t="s">
        <v>2678</v>
      </c>
      <c r="B40" s="1249" t="s">
        <v>2173</v>
      </c>
      <c r="C40" s="1156">
        <v>45</v>
      </c>
      <c r="D40" s="1248" t="s">
        <v>570</v>
      </c>
      <c r="E40" s="1250">
        <v>7</v>
      </c>
      <c r="F40" s="1251" t="s">
        <v>2031</v>
      </c>
      <c r="G40" s="1252"/>
      <c r="H40" s="1253"/>
      <c r="I40" s="1248"/>
      <c r="J40" s="1253"/>
      <c r="K40" s="1248"/>
    </row>
    <row r="41" spans="1:11" s="1247" customFormat="1" hidden="1">
      <c r="A41" s="1241">
        <v>84</v>
      </c>
      <c r="B41" s="1243" t="s">
        <v>2019</v>
      </c>
      <c r="C41" s="1155">
        <f>SUM(C42:C64)</f>
        <v>1226.0999999999999</v>
      </c>
      <c r="D41" s="1241"/>
      <c r="E41" s="1155">
        <f>SUM(E42:E64)</f>
        <v>149.36000000000001</v>
      </c>
      <c r="F41" s="1244"/>
      <c r="G41" s="1245"/>
      <c r="H41" s="1246"/>
      <c r="I41" s="1241"/>
      <c r="J41" s="1246"/>
      <c r="K41" s="1241"/>
    </row>
    <row r="42" spans="1:11" s="1234" customFormat="1" hidden="1">
      <c r="A42" s="1248" t="s">
        <v>2679</v>
      </c>
      <c r="B42" s="1249" t="s">
        <v>2174</v>
      </c>
      <c r="C42" s="1156">
        <v>79.599999999999994</v>
      </c>
      <c r="D42" s="1248" t="s">
        <v>570</v>
      </c>
      <c r="E42" s="1250">
        <v>15.47</v>
      </c>
      <c r="F42" s="1251" t="s">
        <v>2031</v>
      </c>
      <c r="G42" s="1252"/>
      <c r="H42" s="1253"/>
      <c r="I42" s="1248"/>
      <c r="J42" s="1253"/>
      <c r="K42" s="1248"/>
    </row>
    <row r="43" spans="1:11" s="1234" customFormat="1" hidden="1">
      <c r="A43" s="1248" t="s">
        <v>2680</v>
      </c>
      <c r="B43" s="1249" t="s">
        <v>2175</v>
      </c>
      <c r="C43" s="1156">
        <v>25</v>
      </c>
      <c r="D43" s="1248" t="s">
        <v>2032</v>
      </c>
      <c r="E43" s="1250">
        <v>2.88</v>
      </c>
      <c r="F43" s="1251" t="s">
        <v>2031</v>
      </c>
      <c r="G43" s="1252"/>
      <c r="H43" s="1253"/>
      <c r="I43" s="1248"/>
      <c r="J43" s="1253"/>
      <c r="K43" s="1248"/>
    </row>
    <row r="44" spans="1:11" s="1234" customFormat="1" hidden="1">
      <c r="A44" s="1248" t="s">
        <v>2681</v>
      </c>
      <c r="B44" s="1249" t="s">
        <v>2176</v>
      </c>
      <c r="C44" s="1156">
        <v>26</v>
      </c>
      <c r="D44" s="1248" t="s">
        <v>2032</v>
      </c>
      <c r="E44" s="1250">
        <v>2.99</v>
      </c>
      <c r="F44" s="1251" t="s">
        <v>2031</v>
      </c>
      <c r="G44" s="1252"/>
      <c r="H44" s="1253"/>
      <c r="I44" s="1248"/>
      <c r="J44" s="1253"/>
      <c r="K44" s="1248"/>
    </row>
    <row r="45" spans="1:11" s="1234" customFormat="1" hidden="1">
      <c r="A45" s="1248" t="s">
        <v>2682</v>
      </c>
      <c r="B45" s="1249" t="s">
        <v>2177</v>
      </c>
      <c r="C45" s="1156">
        <v>34</v>
      </c>
      <c r="D45" s="1248" t="s">
        <v>2032</v>
      </c>
      <c r="E45" s="1250">
        <v>3.91</v>
      </c>
      <c r="F45" s="1251" t="s">
        <v>2031</v>
      </c>
      <c r="G45" s="1252"/>
      <c r="H45" s="1253"/>
      <c r="I45" s="1248"/>
      <c r="J45" s="1253"/>
      <c r="K45" s="1248"/>
    </row>
    <row r="46" spans="1:11" s="1234" customFormat="1" hidden="1">
      <c r="A46" s="1248" t="s">
        <v>2683</v>
      </c>
      <c r="B46" s="1249" t="s">
        <v>2178</v>
      </c>
      <c r="C46" s="1156">
        <v>110</v>
      </c>
      <c r="D46" s="1248" t="s">
        <v>2032</v>
      </c>
      <c r="E46" s="1250">
        <v>12.67</v>
      </c>
      <c r="F46" s="1251" t="s">
        <v>2031</v>
      </c>
      <c r="G46" s="1252"/>
      <c r="H46" s="1253"/>
      <c r="I46" s="1248"/>
      <c r="J46" s="1253"/>
      <c r="K46" s="1248"/>
    </row>
    <row r="47" spans="1:11" s="1234" customFormat="1" hidden="1">
      <c r="A47" s="1248" t="s">
        <v>2684</v>
      </c>
      <c r="B47" s="1249" t="s">
        <v>2179</v>
      </c>
      <c r="C47" s="1156">
        <v>23</v>
      </c>
      <c r="D47" s="1248" t="s">
        <v>2032</v>
      </c>
      <c r="E47" s="1250">
        <v>2.64</v>
      </c>
      <c r="F47" s="1251" t="s">
        <v>2031</v>
      </c>
      <c r="G47" s="1252"/>
      <c r="H47" s="1253"/>
      <c r="I47" s="1248"/>
      <c r="J47" s="1253"/>
      <c r="K47" s="1248"/>
    </row>
    <row r="48" spans="1:11" s="1234" customFormat="1" hidden="1">
      <c r="A48" s="1248" t="s">
        <v>2685</v>
      </c>
      <c r="B48" s="1249" t="s">
        <v>2180</v>
      </c>
      <c r="C48" s="1156">
        <v>25</v>
      </c>
      <c r="D48" s="1248" t="s">
        <v>2032</v>
      </c>
      <c r="E48" s="1250">
        <v>2.88</v>
      </c>
      <c r="F48" s="1251" t="s">
        <v>2031</v>
      </c>
      <c r="G48" s="1252"/>
      <c r="H48" s="1253"/>
      <c r="I48" s="1248"/>
      <c r="J48" s="1253"/>
      <c r="K48" s="1248"/>
    </row>
    <row r="49" spans="1:11" s="1234" customFormat="1" hidden="1">
      <c r="A49" s="1248" t="s">
        <v>2686</v>
      </c>
      <c r="B49" s="1249" t="s">
        <v>2181</v>
      </c>
      <c r="C49" s="1156">
        <v>26</v>
      </c>
      <c r="D49" s="1248" t="s">
        <v>2032</v>
      </c>
      <c r="E49" s="1250">
        <v>2.99</v>
      </c>
      <c r="F49" s="1251" t="s">
        <v>2031</v>
      </c>
      <c r="G49" s="1252"/>
      <c r="H49" s="1253"/>
      <c r="I49" s="1248"/>
      <c r="J49" s="1253"/>
      <c r="K49" s="1248"/>
    </row>
    <row r="50" spans="1:11" s="1234" customFormat="1" hidden="1">
      <c r="A50" s="1248" t="s">
        <v>2687</v>
      </c>
      <c r="B50" s="1249" t="s">
        <v>2182</v>
      </c>
      <c r="C50" s="1156">
        <v>54</v>
      </c>
      <c r="D50" s="1248" t="s">
        <v>2032</v>
      </c>
      <c r="E50" s="1250">
        <v>6.22</v>
      </c>
      <c r="F50" s="1251" t="s">
        <v>2031</v>
      </c>
      <c r="G50" s="1252"/>
      <c r="H50" s="1253"/>
      <c r="I50" s="1248"/>
      <c r="J50" s="1253"/>
      <c r="K50" s="1248"/>
    </row>
    <row r="51" spans="1:11" s="1234" customFormat="1" hidden="1">
      <c r="A51" s="1248" t="s">
        <v>2688</v>
      </c>
      <c r="B51" s="1249" t="s">
        <v>2183</v>
      </c>
      <c r="C51" s="1156">
        <v>40</v>
      </c>
      <c r="D51" s="1248" t="s">
        <v>2032</v>
      </c>
      <c r="E51" s="1250">
        <v>4.5999999999999996</v>
      </c>
      <c r="F51" s="1251" t="s">
        <v>2031</v>
      </c>
      <c r="G51" s="1252"/>
      <c r="H51" s="1253"/>
      <c r="I51" s="1248"/>
      <c r="J51" s="1253"/>
      <c r="K51" s="1248"/>
    </row>
    <row r="52" spans="1:11" s="1234" customFormat="1" hidden="1">
      <c r="A52" s="1248" t="s">
        <v>2689</v>
      </c>
      <c r="B52" s="1249" t="s">
        <v>2184</v>
      </c>
      <c r="C52" s="1156">
        <v>41</v>
      </c>
      <c r="D52" s="1248" t="s">
        <v>2032</v>
      </c>
      <c r="E52" s="1250">
        <v>4.72</v>
      </c>
      <c r="F52" s="1251" t="s">
        <v>2031</v>
      </c>
      <c r="G52" s="1252"/>
      <c r="H52" s="1253"/>
      <c r="I52" s="1248"/>
      <c r="J52" s="1253"/>
      <c r="K52" s="1248"/>
    </row>
    <row r="53" spans="1:11" s="1234" customFormat="1" hidden="1">
      <c r="A53" s="1248" t="s">
        <v>2690</v>
      </c>
      <c r="B53" s="1249" t="s">
        <v>2185</v>
      </c>
      <c r="C53" s="1156">
        <v>132</v>
      </c>
      <c r="D53" s="1248" t="s">
        <v>2032</v>
      </c>
      <c r="E53" s="1250">
        <v>15.2</v>
      </c>
      <c r="F53" s="1251" t="s">
        <v>2031</v>
      </c>
      <c r="G53" s="1252"/>
      <c r="H53" s="1253"/>
      <c r="I53" s="1248"/>
      <c r="J53" s="1253"/>
      <c r="K53" s="1248"/>
    </row>
    <row r="54" spans="1:11" s="1234" customFormat="1" hidden="1">
      <c r="A54" s="1248" t="s">
        <v>2691</v>
      </c>
      <c r="B54" s="1249" t="s">
        <v>2186</v>
      </c>
      <c r="C54" s="1156">
        <v>72.5</v>
      </c>
      <c r="D54" s="1248" t="s">
        <v>2032</v>
      </c>
      <c r="E54" s="1250">
        <v>8.35</v>
      </c>
      <c r="F54" s="1251" t="s">
        <v>2031</v>
      </c>
      <c r="G54" s="1252"/>
      <c r="H54" s="1253"/>
      <c r="I54" s="1248"/>
      <c r="J54" s="1253"/>
      <c r="K54" s="1248"/>
    </row>
    <row r="55" spans="1:11" s="1234" customFormat="1" hidden="1">
      <c r="A55" s="1248" t="s">
        <v>2692</v>
      </c>
      <c r="B55" s="1249" t="s">
        <v>2187</v>
      </c>
      <c r="C55" s="1156">
        <v>30</v>
      </c>
      <c r="D55" s="1248" t="s">
        <v>2032</v>
      </c>
      <c r="E55" s="1250">
        <v>3.45</v>
      </c>
      <c r="F55" s="1251" t="s">
        <v>2031</v>
      </c>
      <c r="G55" s="1252"/>
      <c r="H55" s="1253"/>
      <c r="I55" s="1248"/>
      <c r="J55" s="1253"/>
      <c r="K55" s="1248"/>
    </row>
    <row r="56" spans="1:11" s="1234" customFormat="1" hidden="1">
      <c r="A56" s="1248" t="s">
        <v>2693</v>
      </c>
      <c r="B56" s="1249" t="s">
        <v>2188</v>
      </c>
      <c r="C56" s="1156">
        <v>47</v>
      </c>
      <c r="D56" s="1248" t="s">
        <v>2032</v>
      </c>
      <c r="E56" s="1250">
        <v>5.41</v>
      </c>
      <c r="F56" s="1251" t="s">
        <v>2031</v>
      </c>
      <c r="G56" s="1252"/>
      <c r="H56" s="1253"/>
      <c r="I56" s="1248"/>
      <c r="J56" s="1253"/>
      <c r="K56" s="1248"/>
    </row>
    <row r="57" spans="1:11" s="1234" customFormat="1" hidden="1">
      <c r="A57" s="1248" t="s">
        <v>2694</v>
      </c>
      <c r="B57" s="1249" t="s">
        <v>2189</v>
      </c>
      <c r="C57" s="1156">
        <v>54</v>
      </c>
      <c r="D57" s="1248" t="s">
        <v>2032</v>
      </c>
      <c r="E57" s="1250">
        <v>6.22</v>
      </c>
      <c r="F57" s="1251" t="s">
        <v>2031</v>
      </c>
      <c r="G57" s="1252"/>
      <c r="H57" s="1253"/>
      <c r="I57" s="1248"/>
      <c r="J57" s="1253"/>
      <c r="K57" s="1248"/>
    </row>
    <row r="58" spans="1:11" s="1234" customFormat="1" hidden="1">
      <c r="A58" s="1248" t="s">
        <v>2695</v>
      </c>
      <c r="B58" s="1249" t="s">
        <v>2190</v>
      </c>
      <c r="C58" s="1156">
        <v>51</v>
      </c>
      <c r="D58" s="1248" t="s">
        <v>2032</v>
      </c>
      <c r="E58" s="1250">
        <v>5.87</v>
      </c>
      <c r="F58" s="1251" t="s">
        <v>2031</v>
      </c>
      <c r="G58" s="1252"/>
      <c r="H58" s="1253"/>
      <c r="I58" s="1248"/>
      <c r="J58" s="1253"/>
      <c r="K58" s="1248"/>
    </row>
    <row r="59" spans="1:11" s="1234" customFormat="1" hidden="1">
      <c r="A59" s="1248" t="s">
        <v>2696</v>
      </c>
      <c r="B59" s="1249" t="s">
        <v>2191</v>
      </c>
      <c r="C59" s="1156">
        <v>62</v>
      </c>
      <c r="D59" s="1248" t="s">
        <v>2032</v>
      </c>
      <c r="E59" s="1250">
        <v>7.14</v>
      </c>
      <c r="F59" s="1251" t="s">
        <v>2031</v>
      </c>
      <c r="G59" s="1252"/>
      <c r="H59" s="1253"/>
      <c r="I59" s="1248"/>
      <c r="J59" s="1253"/>
      <c r="K59" s="1248"/>
    </row>
    <row r="60" spans="1:11" s="1234" customFormat="1" hidden="1">
      <c r="A60" s="1248" t="s">
        <v>2697</v>
      </c>
      <c r="B60" s="1249" t="s">
        <v>2192</v>
      </c>
      <c r="C60" s="1156">
        <v>27</v>
      </c>
      <c r="D60" s="1248" t="s">
        <v>2032</v>
      </c>
      <c r="E60" s="1250">
        <v>3.11</v>
      </c>
      <c r="F60" s="1251" t="s">
        <v>2031</v>
      </c>
      <c r="G60" s="1252"/>
      <c r="H60" s="1253"/>
      <c r="I60" s="1248"/>
      <c r="J60" s="1253"/>
      <c r="K60" s="1248"/>
    </row>
    <row r="61" spans="1:11" s="1234" customFormat="1" hidden="1">
      <c r="A61" s="1248" t="s">
        <v>2698</v>
      </c>
      <c r="B61" s="1249" t="s">
        <v>2193</v>
      </c>
      <c r="C61" s="1156">
        <v>56</v>
      </c>
      <c r="D61" s="1248" t="s">
        <v>2032</v>
      </c>
      <c r="E61" s="1250">
        <v>6.45</v>
      </c>
      <c r="F61" s="1251" t="s">
        <v>2031</v>
      </c>
      <c r="G61" s="1252"/>
      <c r="H61" s="1253"/>
      <c r="I61" s="1248"/>
      <c r="J61" s="1253"/>
      <c r="K61" s="1248"/>
    </row>
    <row r="62" spans="1:11" s="1234" customFormat="1" hidden="1">
      <c r="A62" s="1248" t="s">
        <v>2699</v>
      </c>
      <c r="B62" s="1249" t="s">
        <v>2194</v>
      </c>
      <c r="C62" s="1156">
        <v>32</v>
      </c>
      <c r="D62" s="1248" t="s">
        <v>2032</v>
      </c>
      <c r="E62" s="1250">
        <v>3.68</v>
      </c>
      <c r="F62" s="1251" t="s">
        <v>2031</v>
      </c>
      <c r="G62" s="1252"/>
      <c r="H62" s="1253"/>
      <c r="I62" s="1248"/>
      <c r="J62" s="1253"/>
      <c r="K62" s="1248"/>
    </row>
    <row r="63" spans="1:11" s="1234" customFormat="1" hidden="1">
      <c r="A63" s="1248" t="s">
        <v>2700</v>
      </c>
      <c r="B63" s="1249" t="s">
        <v>2195</v>
      </c>
      <c r="C63" s="1156">
        <v>24</v>
      </c>
      <c r="D63" s="1248" t="s">
        <v>570</v>
      </c>
      <c r="E63" s="1250">
        <v>4.66</v>
      </c>
      <c r="F63" s="1251" t="s">
        <v>2031</v>
      </c>
      <c r="G63" s="1252"/>
      <c r="H63" s="1253"/>
      <c r="I63" s="1248"/>
      <c r="J63" s="1253"/>
      <c r="K63" s="1248"/>
    </row>
    <row r="64" spans="1:11" s="1234" customFormat="1" hidden="1">
      <c r="A64" s="1248" t="s">
        <v>2701</v>
      </c>
      <c r="B64" s="1249" t="s">
        <v>2196</v>
      </c>
      <c r="C64" s="1156">
        <v>155</v>
      </c>
      <c r="D64" s="1248" t="s">
        <v>2032</v>
      </c>
      <c r="E64" s="1250">
        <v>17.850000000000001</v>
      </c>
      <c r="F64" s="1251" t="s">
        <v>2031</v>
      </c>
      <c r="G64" s="1252"/>
      <c r="H64" s="1253"/>
      <c r="I64" s="1248"/>
      <c r="J64" s="1253"/>
      <c r="K64" s="1248"/>
    </row>
    <row r="65" spans="1:11" s="1247" customFormat="1" hidden="1">
      <c r="A65" s="1241">
        <v>85</v>
      </c>
      <c r="B65" s="1243" t="s">
        <v>2020</v>
      </c>
      <c r="C65" s="1155">
        <f>SUM(C66:C77)</f>
        <v>1125</v>
      </c>
      <c r="D65" s="1241"/>
      <c r="E65" s="1155">
        <f>SUM(E66:E77)</f>
        <v>119.408</v>
      </c>
      <c r="F65" s="1244"/>
      <c r="G65" s="1245"/>
      <c r="H65" s="1246"/>
      <c r="I65" s="1241"/>
      <c r="J65" s="1246"/>
      <c r="K65" s="1241"/>
    </row>
    <row r="66" spans="1:11" s="1234" customFormat="1" hidden="1">
      <c r="A66" s="1248" t="s">
        <v>2053</v>
      </c>
      <c r="B66" s="1249" t="s">
        <v>2197</v>
      </c>
      <c r="C66" s="1156">
        <v>30</v>
      </c>
      <c r="D66" s="1248" t="s">
        <v>207</v>
      </c>
      <c r="E66" s="1250">
        <v>3</v>
      </c>
      <c r="F66" s="1251" t="s">
        <v>2031</v>
      </c>
      <c r="G66" s="1252"/>
      <c r="H66" s="1253"/>
      <c r="I66" s="1248"/>
      <c r="J66" s="1253"/>
      <c r="K66" s="1248"/>
    </row>
    <row r="67" spans="1:11" s="1234" customFormat="1" hidden="1">
      <c r="A67" s="1248" t="s">
        <v>2054</v>
      </c>
      <c r="B67" s="1249" t="s">
        <v>2198</v>
      </c>
      <c r="C67" s="1156">
        <v>135</v>
      </c>
      <c r="D67" s="1248" t="s">
        <v>207</v>
      </c>
      <c r="E67" s="1250">
        <v>13.5</v>
      </c>
      <c r="F67" s="1251" t="s">
        <v>2031</v>
      </c>
      <c r="G67" s="1252"/>
      <c r="H67" s="1253"/>
      <c r="I67" s="1248"/>
      <c r="J67" s="1253"/>
      <c r="K67" s="1248"/>
    </row>
    <row r="68" spans="1:11" s="1234" customFormat="1" hidden="1">
      <c r="A68" s="1248" t="s">
        <v>2055</v>
      </c>
      <c r="B68" s="1249" t="s">
        <v>2199</v>
      </c>
      <c r="C68" s="1156">
        <v>72</v>
      </c>
      <c r="D68" s="1248" t="s">
        <v>207</v>
      </c>
      <c r="E68" s="1250">
        <v>7.2</v>
      </c>
      <c r="F68" s="1251" t="s">
        <v>2031</v>
      </c>
      <c r="G68" s="1252"/>
      <c r="H68" s="1253"/>
      <c r="I68" s="1248"/>
      <c r="J68" s="1253"/>
      <c r="K68" s="1248"/>
    </row>
    <row r="69" spans="1:11" s="1234" customFormat="1" hidden="1">
      <c r="A69" s="1248" t="s">
        <v>2056</v>
      </c>
      <c r="B69" s="1249" t="s">
        <v>2200</v>
      </c>
      <c r="C69" s="1156">
        <v>105</v>
      </c>
      <c r="D69" s="1248" t="s">
        <v>570</v>
      </c>
      <c r="E69" s="1250">
        <v>16.506</v>
      </c>
      <c r="F69" s="1251" t="s">
        <v>2031</v>
      </c>
      <c r="G69" s="1252"/>
      <c r="H69" s="1253"/>
      <c r="I69" s="1248"/>
      <c r="J69" s="1253"/>
      <c r="K69" s="1248"/>
    </row>
    <row r="70" spans="1:11" s="1234" customFormat="1" hidden="1">
      <c r="A70" s="1248" t="s">
        <v>2702</v>
      </c>
      <c r="B70" s="1249" t="s">
        <v>2201</v>
      </c>
      <c r="C70" s="1156">
        <v>117</v>
      </c>
      <c r="D70" s="1248" t="s">
        <v>207</v>
      </c>
      <c r="E70" s="1250">
        <v>11.7</v>
      </c>
      <c r="F70" s="1251" t="s">
        <v>2031</v>
      </c>
      <c r="G70" s="1252"/>
      <c r="H70" s="1253"/>
      <c r="I70" s="1248"/>
      <c r="J70" s="1253"/>
      <c r="K70" s="1248"/>
    </row>
    <row r="71" spans="1:11" s="1234" customFormat="1" hidden="1">
      <c r="A71" s="1248" t="s">
        <v>2703</v>
      </c>
      <c r="B71" s="1249" t="s">
        <v>2202</v>
      </c>
      <c r="C71" s="1156">
        <v>76</v>
      </c>
      <c r="D71" s="1248" t="s">
        <v>207</v>
      </c>
      <c r="E71" s="1250">
        <v>7.6</v>
      </c>
      <c r="F71" s="1251" t="s">
        <v>2031</v>
      </c>
      <c r="G71" s="1252"/>
      <c r="H71" s="1253"/>
      <c r="I71" s="1248"/>
      <c r="J71" s="1253"/>
      <c r="K71" s="1248"/>
    </row>
    <row r="72" spans="1:11" s="1234" customFormat="1" hidden="1">
      <c r="A72" s="1248" t="s">
        <v>2704</v>
      </c>
      <c r="B72" s="1249" t="s">
        <v>2203</v>
      </c>
      <c r="C72" s="1156">
        <v>20</v>
      </c>
      <c r="D72" s="1248" t="s">
        <v>207</v>
      </c>
      <c r="E72" s="1250">
        <v>2</v>
      </c>
      <c r="F72" s="1251" t="s">
        <v>2031</v>
      </c>
      <c r="G72" s="1252"/>
      <c r="H72" s="1253"/>
      <c r="I72" s="1248"/>
      <c r="J72" s="1253"/>
      <c r="K72" s="1248"/>
    </row>
    <row r="73" spans="1:11" s="1234" customFormat="1" hidden="1">
      <c r="A73" s="1248" t="s">
        <v>2705</v>
      </c>
      <c r="B73" s="1249" t="s">
        <v>2204</v>
      </c>
      <c r="C73" s="1156">
        <v>20</v>
      </c>
      <c r="D73" s="1248" t="s">
        <v>207</v>
      </c>
      <c r="E73" s="1250">
        <v>2</v>
      </c>
      <c r="F73" s="1251" t="s">
        <v>2031</v>
      </c>
      <c r="G73" s="1252"/>
      <c r="H73" s="1253"/>
      <c r="I73" s="1248"/>
      <c r="J73" s="1253"/>
      <c r="K73" s="1248"/>
    </row>
    <row r="74" spans="1:11" s="1234" customFormat="1" hidden="1">
      <c r="A74" s="1248" t="s">
        <v>2706</v>
      </c>
      <c r="B74" s="1249" t="s">
        <v>2205</v>
      </c>
      <c r="C74" s="1156">
        <v>80</v>
      </c>
      <c r="D74" s="1248" t="s">
        <v>2032</v>
      </c>
      <c r="E74" s="1250">
        <v>6.4</v>
      </c>
      <c r="F74" s="1251" t="s">
        <v>2031</v>
      </c>
      <c r="G74" s="1252"/>
      <c r="H74" s="1253"/>
      <c r="I74" s="1248"/>
      <c r="J74" s="1253"/>
      <c r="K74" s="1248"/>
    </row>
    <row r="75" spans="1:11" s="1234" customFormat="1" hidden="1">
      <c r="A75" s="1248" t="s">
        <v>2707</v>
      </c>
      <c r="B75" s="1249" t="s">
        <v>2206</v>
      </c>
      <c r="C75" s="1156">
        <v>115</v>
      </c>
      <c r="D75" s="1248" t="s">
        <v>207</v>
      </c>
      <c r="E75" s="1250">
        <v>11.5</v>
      </c>
      <c r="F75" s="1251" t="s">
        <v>2031</v>
      </c>
      <c r="G75" s="1252"/>
      <c r="H75" s="1253"/>
      <c r="I75" s="1248"/>
      <c r="J75" s="1253"/>
      <c r="K75" s="1248"/>
    </row>
    <row r="76" spans="1:11" s="1234" customFormat="1" hidden="1">
      <c r="A76" s="1248" t="s">
        <v>2708</v>
      </c>
      <c r="B76" s="1249" t="s">
        <v>2207</v>
      </c>
      <c r="C76" s="1156">
        <v>325</v>
      </c>
      <c r="D76" s="1248" t="s">
        <v>207</v>
      </c>
      <c r="E76" s="1250">
        <v>32.5</v>
      </c>
      <c r="F76" s="1251" t="s">
        <v>2031</v>
      </c>
      <c r="G76" s="1252"/>
      <c r="H76" s="1253"/>
      <c r="I76" s="1248"/>
      <c r="J76" s="1253"/>
      <c r="K76" s="1248"/>
    </row>
    <row r="77" spans="1:11" s="1234" customFormat="1" hidden="1">
      <c r="A77" s="1248" t="s">
        <v>2709</v>
      </c>
      <c r="B77" s="1249" t="s">
        <v>2208</v>
      </c>
      <c r="C77" s="1156">
        <v>30</v>
      </c>
      <c r="D77" s="1248" t="s">
        <v>569</v>
      </c>
      <c r="E77" s="1250">
        <v>5.5019999999999998</v>
      </c>
      <c r="F77" s="1251" t="s">
        <v>2031</v>
      </c>
      <c r="G77" s="1252"/>
      <c r="H77" s="1253"/>
      <c r="I77" s="1248"/>
      <c r="J77" s="1253"/>
      <c r="K77" s="1248"/>
    </row>
    <row r="78" spans="1:11" s="1247" customFormat="1" hidden="1">
      <c r="A78" s="1241">
        <v>86</v>
      </c>
      <c r="B78" s="1243" t="s">
        <v>2021</v>
      </c>
      <c r="C78" s="1155">
        <f>SUM(C79:C142)</f>
        <v>2816</v>
      </c>
      <c r="D78" s="1241"/>
      <c r="E78" s="1155">
        <f>SUM(E79:E142)</f>
        <v>272.09999999999997</v>
      </c>
      <c r="F78" s="1244"/>
      <c r="G78" s="1245"/>
      <c r="H78" s="1246"/>
      <c r="I78" s="1241"/>
      <c r="J78" s="1246"/>
      <c r="K78" s="1241"/>
    </row>
    <row r="79" spans="1:11" s="1234" customFormat="1" hidden="1">
      <c r="A79" s="1248" t="s">
        <v>2057</v>
      </c>
      <c r="B79" s="1249" t="s">
        <v>2209</v>
      </c>
      <c r="C79" s="1156">
        <v>67</v>
      </c>
      <c r="D79" s="1248" t="s">
        <v>2032</v>
      </c>
      <c r="E79" s="1250">
        <v>5.4</v>
      </c>
      <c r="F79" s="1251" t="s">
        <v>2031</v>
      </c>
      <c r="G79" s="1252"/>
      <c r="H79" s="1253"/>
      <c r="I79" s="1248"/>
      <c r="J79" s="1253"/>
      <c r="K79" s="1248"/>
    </row>
    <row r="80" spans="1:11" s="1234" customFormat="1" hidden="1">
      <c r="A80" s="1248" t="s">
        <v>2058</v>
      </c>
      <c r="B80" s="1249" t="s">
        <v>2210</v>
      </c>
      <c r="C80" s="1156">
        <v>50</v>
      </c>
      <c r="D80" s="1248" t="s">
        <v>2032</v>
      </c>
      <c r="E80" s="1250">
        <v>4</v>
      </c>
      <c r="F80" s="1251" t="s">
        <v>2031</v>
      </c>
      <c r="G80" s="1252"/>
      <c r="H80" s="1253"/>
      <c r="I80" s="1248"/>
      <c r="J80" s="1253"/>
      <c r="K80" s="1248"/>
    </row>
    <row r="81" spans="1:11" s="1234" customFormat="1" hidden="1">
      <c r="A81" s="1248" t="s">
        <v>2710</v>
      </c>
      <c r="B81" s="1249" t="s">
        <v>2211</v>
      </c>
      <c r="C81" s="1156">
        <v>16</v>
      </c>
      <c r="D81" s="1248" t="s">
        <v>2032</v>
      </c>
      <c r="E81" s="1250">
        <v>1.3</v>
      </c>
      <c r="F81" s="1251" t="s">
        <v>2031</v>
      </c>
      <c r="G81" s="1252"/>
      <c r="H81" s="1253"/>
      <c r="I81" s="1248"/>
      <c r="J81" s="1253"/>
      <c r="K81" s="1248"/>
    </row>
    <row r="82" spans="1:11" s="1234" customFormat="1" ht="25.5" hidden="1">
      <c r="A82" s="1248" t="s">
        <v>2711</v>
      </c>
      <c r="B82" s="1249" t="s">
        <v>2212</v>
      </c>
      <c r="C82" s="1156">
        <v>26</v>
      </c>
      <c r="D82" s="1248" t="s">
        <v>2032</v>
      </c>
      <c r="E82" s="1250">
        <v>2.1</v>
      </c>
      <c r="F82" s="1251" t="s">
        <v>2031</v>
      </c>
      <c r="G82" s="1252"/>
      <c r="H82" s="1253"/>
      <c r="I82" s="1248"/>
      <c r="J82" s="1253"/>
      <c r="K82" s="1248"/>
    </row>
    <row r="83" spans="1:11" s="1234" customFormat="1" hidden="1">
      <c r="A83" s="1248" t="s">
        <v>2712</v>
      </c>
      <c r="B83" s="1249" t="s">
        <v>2213</v>
      </c>
      <c r="C83" s="1156">
        <v>16</v>
      </c>
      <c r="D83" s="1248" t="s">
        <v>2032</v>
      </c>
      <c r="E83" s="1250">
        <v>1.3</v>
      </c>
      <c r="F83" s="1251" t="s">
        <v>2031</v>
      </c>
      <c r="G83" s="1252"/>
      <c r="H83" s="1253"/>
      <c r="I83" s="1248"/>
      <c r="J83" s="1253"/>
      <c r="K83" s="1248"/>
    </row>
    <row r="84" spans="1:11" s="1234" customFormat="1" ht="25.5" hidden="1">
      <c r="A84" s="1248" t="s">
        <v>2713</v>
      </c>
      <c r="B84" s="1249" t="s">
        <v>2214</v>
      </c>
      <c r="C84" s="1156">
        <v>13</v>
      </c>
      <c r="D84" s="1248" t="s">
        <v>2032</v>
      </c>
      <c r="E84" s="1250">
        <v>1</v>
      </c>
      <c r="F84" s="1251" t="s">
        <v>2031</v>
      </c>
      <c r="G84" s="1252"/>
      <c r="H84" s="1253"/>
      <c r="I84" s="1248"/>
      <c r="J84" s="1253"/>
      <c r="K84" s="1248"/>
    </row>
    <row r="85" spans="1:11" s="1234" customFormat="1" hidden="1">
      <c r="A85" s="1248" t="s">
        <v>2714</v>
      </c>
      <c r="B85" s="1249" t="s">
        <v>2215</v>
      </c>
      <c r="C85" s="1156">
        <v>23</v>
      </c>
      <c r="D85" s="1248" t="s">
        <v>207</v>
      </c>
      <c r="E85" s="1250">
        <v>2.2999999999999998</v>
      </c>
      <c r="F85" s="1251" t="s">
        <v>2031</v>
      </c>
      <c r="G85" s="1252"/>
      <c r="H85" s="1253"/>
      <c r="I85" s="1248"/>
      <c r="J85" s="1253"/>
      <c r="K85" s="1248"/>
    </row>
    <row r="86" spans="1:11" s="1234" customFormat="1" hidden="1">
      <c r="A86" s="1248" t="s">
        <v>2715</v>
      </c>
      <c r="B86" s="1249" t="s">
        <v>2216</v>
      </c>
      <c r="C86" s="1156">
        <v>50</v>
      </c>
      <c r="D86" s="1248" t="s">
        <v>207</v>
      </c>
      <c r="E86" s="1250">
        <v>5</v>
      </c>
      <c r="F86" s="1251" t="s">
        <v>2031</v>
      </c>
      <c r="G86" s="1252"/>
      <c r="H86" s="1253"/>
      <c r="I86" s="1248"/>
      <c r="J86" s="1253"/>
      <c r="K86" s="1248"/>
    </row>
    <row r="87" spans="1:11" s="1234" customFormat="1" hidden="1">
      <c r="A87" s="1248" t="s">
        <v>2716</v>
      </c>
      <c r="B87" s="1249" t="s">
        <v>2217</v>
      </c>
      <c r="C87" s="1156">
        <v>50</v>
      </c>
      <c r="D87" s="1248" t="s">
        <v>2032</v>
      </c>
      <c r="E87" s="1250">
        <v>4</v>
      </c>
      <c r="F87" s="1251" t="s">
        <v>2031</v>
      </c>
      <c r="G87" s="1252"/>
      <c r="H87" s="1253"/>
      <c r="I87" s="1248"/>
      <c r="J87" s="1253"/>
      <c r="K87" s="1248"/>
    </row>
    <row r="88" spans="1:11" s="1234" customFormat="1" ht="38.25" hidden="1">
      <c r="A88" s="1248" t="s">
        <v>2717</v>
      </c>
      <c r="B88" s="1249" t="s">
        <v>2218</v>
      </c>
      <c r="C88" s="1156">
        <v>84</v>
      </c>
      <c r="D88" s="1248" t="s">
        <v>207</v>
      </c>
      <c r="E88" s="1250">
        <v>8.4</v>
      </c>
      <c r="F88" s="1251" t="s">
        <v>2031</v>
      </c>
      <c r="G88" s="1252"/>
      <c r="H88" s="1253"/>
      <c r="I88" s="1248"/>
      <c r="J88" s="1253"/>
      <c r="K88" s="1248"/>
    </row>
    <row r="89" spans="1:11" s="1234" customFormat="1" ht="25.5" hidden="1">
      <c r="A89" s="1248" t="s">
        <v>2718</v>
      </c>
      <c r="B89" s="1249" t="s">
        <v>2219</v>
      </c>
      <c r="C89" s="1156">
        <v>63</v>
      </c>
      <c r="D89" s="1248" t="s">
        <v>2032</v>
      </c>
      <c r="E89" s="1250">
        <v>5</v>
      </c>
      <c r="F89" s="1251" t="s">
        <v>2031</v>
      </c>
      <c r="G89" s="1252"/>
      <c r="H89" s="1253"/>
      <c r="I89" s="1248"/>
      <c r="J89" s="1253"/>
      <c r="K89" s="1248"/>
    </row>
    <row r="90" spans="1:11" s="1234" customFormat="1" hidden="1">
      <c r="A90" s="1248" t="s">
        <v>2719</v>
      </c>
      <c r="B90" s="1249" t="s">
        <v>2220</v>
      </c>
      <c r="C90" s="1156">
        <v>25</v>
      </c>
      <c r="D90" s="1248" t="s">
        <v>207</v>
      </c>
      <c r="E90" s="1250">
        <v>2.5</v>
      </c>
      <c r="F90" s="1251" t="s">
        <v>2031</v>
      </c>
      <c r="G90" s="1252"/>
      <c r="H90" s="1253"/>
      <c r="I90" s="1248"/>
      <c r="J90" s="1253"/>
      <c r="K90" s="1248"/>
    </row>
    <row r="91" spans="1:11" s="1234" customFormat="1" hidden="1">
      <c r="A91" s="1248" t="s">
        <v>2720</v>
      </c>
      <c r="B91" s="1249" t="s">
        <v>2221</v>
      </c>
      <c r="C91" s="1156">
        <v>13</v>
      </c>
      <c r="D91" s="1248" t="s">
        <v>2032</v>
      </c>
      <c r="E91" s="1250">
        <v>1</v>
      </c>
      <c r="F91" s="1251" t="s">
        <v>2031</v>
      </c>
      <c r="G91" s="1252"/>
      <c r="H91" s="1253"/>
      <c r="I91" s="1248"/>
      <c r="J91" s="1253"/>
      <c r="K91" s="1248"/>
    </row>
    <row r="92" spans="1:11" s="1234" customFormat="1" hidden="1">
      <c r="A92" s="1248" t="s">
        <v>2721</v>
      </c>
      <c r="B92" s="1249" t="s">
        <v>2222</v>
      </c>
      <c r="C92" s="1156">
        <v>35</v>
      </c>
      <c r="D92" s="1248" t="s">
        <v>2032</v>
      </c>
      <c r="E92" s="1250">
        <v>2.8</v>
      </c>
      <c r="F92" s="1251" t="s">
        <v>2031</v>
      </c>
      <c r="G92" s="1252"/>
      <c r="H92" s="1253"/>
      <c r="I92" s="1248"/>
      <c r="J92" s="1253"/>
      <c r="K92" s="1248"/>
    </row>
    <row r="93" spans="1:11" s="1234" customFormat="1" hidden="1">
      <c r="A93" s="1248" t="s">
        <v>2722</v>
      </c>
      <c r="B93" s="1249" t="s">
        <v>2223</v>
      </c>
      <c r="C93" s="1156">
        <v>14</v>
      </c>
      <c r="D93" s="1248" t="s">
        <v>2032</v>
      </c>
      <c r="E93" s="1250">
        <v>1.1000000000000001</v>
      </c>
      <c r="F93" s="1251" t="s">
        <v>2031</v>
      </c>
      <c r="G93" s="1252"/>
      <c r="H93" s="1253"/>
      <c r="I93" s="1248"/>
      <c r="J93" s="1253"/>
      <c r="K93" s="1248"/>
    </row>
    <row r="94" spans="1:11" s="1234" customFormat="1" hidden="1">
      <c r="A94" s="1248" t="s">
        <v>2723</v>
      </c>
      <c r="B94" s="1249" t="s">
        <v>2224</v>
      </c>
      <c r="C94" s="1156">
        <v>64</v>
      </c>
      <c r="D94" s="1248" t="s">
        <v>2032</v>
      </c>
      <c r="E94" s="1250">
        <v>5.0999999999999996</v>
      </c>
      <c r="F94" s="1251" t="s">
        <v>2031</v>
      </c>
      <c r="G94" s="1252"/>
      <c r="H94" s="1253"/>
      <c r="I94" s="1248"/>
      <c r="J94" s="1253"/>
      <c r="K94" s="1248"/>
    </row>
    <row r="95" spans="1:11" s="1234" customFormat="1" hidden="1">
      <c r="A95" s="1248" t="s">
        <v>2724</v>
      </c>
      <c r="B95" s="1249" t="s">
        <v>2225</v>
      </c>
      <c r="C95" s="1156">
        <v>40</v>
      </c>
      <c r="D95" s="1248" t="s">
        <v>570</v>
      </c>
      <c r="E95" s="1250">
        <v>6.3</v>
      </c>
      <c r="F95" s="1251" t="s">
        <v>2031</v>
      </c>
      <c r="G95" s="1252"/>
      <c r="H95" s="1253"/>
      <c r="I95" s="1248"/>
      <c r="J95" s="1253"/>
      <c r="K95" s="1248"/>
    </row>
    <row r="96" spans="1:11" s="1234" customFormat="1" ht="25.5" hidden="1">
      <c r="A96" s="1248" t="s">
        <v>2725</v>
      </c>
      <c r="B96" s="1249" t="s">
        <v>2226</v>
      </c>
      <c r="C96" s="1156">
        <v>15</v>
      </c>
      <c r="D96" s="1248" t="s">
        <v>2032</v>
      </c>
      <c r="E96" s="1250">
        <v>1.2</v>
      </c>
      <c r="F96" s="1251" t="s">
        <v>2031</v>
      </c>
      <c r="G96" s="1252"/>
      <c r="H96" s="1253"/>
      <c r="I96" s="1248"/>
      <c r="J96" s="1253"/>
      <c r="K96" s="1248"/>
    </row>
    <row r="97" spans="1:11" s="1234" customFormat="1" ht="25.5" hidden="1">
      <c r="A97" s="1248" t="s">
        <v>2726</v>
      </c>
      <c r="B97" s="1249" t="s">
        <v>2227</v>
      </c>
      <c r="C97" s="1156">
        <v>57</v>
      </c>
      <c r="D97" s="1248" t="s">
        <v>2032</v>
      </c>
      <c r="E97" s="1250">
        <v>4.5999999999999996</v>
      </c>
      <c r="F97" s="1251" t="s">
        <v>2031</v>
      </c>
      <c r="G97" s="1252"/>
      <c r="H97" s="1253"/>
      <c r="I97" s="1248"/>
      <c r="J97" s="1253"/>
      <c r="K97" s="1248"/>
    </row>
    <row r="98" spans="1:11" s="1234" customFormat="1" ht="25.5" hidden="1">
      <c r="A98" s="1248" t="s">
        <v>2727</v>
      </c>
      <c r="B98" s="1249" t="s">
        <v>2228</v>
      </c>
      <c r="C98" s="1156">
        <v>19</v>
      </c>
      <c r="D98" s="1248" t="s">
        <v>2032</v>
      </c>
      <c r="E98" s="1250">
        <v>1.5</v>
      </c>
      <c r="F98" s="1251" t="s">
        <v>2031</v>
      </c>
      <c r="G98" s="1252"/>
      <c r="H98" s="1253"/>
      <c r="I98" s="1248"/>
      <c r="J98" s="1253"/>
      <c r="K98" s="1248"/>
    </row>
    <row r="99" spans="1:11" s="1234" customFormat="1" hidden="1">
      <c r="A99" s="1248" t="s">
        <v>2728</v>
      </c>
      <c r="B99" s="1249" t="s">
        <v>2229</v>
      </c>
      <c r="C99" s="1156">
        <v>22</v>
      </c>
      <c r="D99" s="1248" t="s">
        <v>2032</v>
      </c>
      <c r="E99" s="1250">
        <v>1.8</v>
      </c>
      <c r="F99" s="1251" t="s">
        <v>2031</v>
      </c>
      <c r="G99" s="1252"/>
      <c r="H99" s="1253"/>
      <c r="I99" s="1248"/>
      <c r="J99" s="1253"/>
      <c r="K99" s="1248"/>
    </row>
    <row r="100" spans="1:11" s="1234" customFormat="1" ht="25.5" hidden="1">
      <c r="A100" s="1248" t="s">
        <v>2729</v>
      </c>
      <c r="B100" s="1249" t="s">
        <v>2230</v>
      </c>
      <c r="C100" s="1156">
        <v>42</v>
      </c>
      <c r="D100" s="1248" t="s">
        <v>207</v>
      </c>
      <c r="E100" s="1250">
        <v>4.2</v>
      </c>
      <c r="F100" s="1251" t="s">
        <v>2031</v>
      </c>
      <c r="G100" s="1252"/>
      <c r="H100" s="1253"/>
      <c r="I100" s="1248"/>
      <c r="J100" s="1253"/>
      <c r="K100" s="1248"/>
    </row>
    <row r="101" spans="1:11" s="1234" customFormat="1" hidden="1">
      <c r="A101" s="1248" t="s">
        <v>2730</v>
      </c>
      <c r="B101" s="1249" t="s">
        <v>2231</v>
      </c>
      <c r="C101" s="1156">
        <v>162</v>
      </c>
      <c r="D101" s="1248" t="s">
        <v>2032</v>
      </c>
      <c r="E101" s="1250">
        <v>13</v>
      </c>
      <c r="F101" s="1251" t="s">
        <v>2031</v>
      </c>
      <c r="G101" s="1252"/>
      <c r="H101" s="1253"/>
      <c r="I101" s="1248"/>
      <c r="J101" s="1253"/>
      <c r="K101" s="1248"/>
    </row>
    <row r="102" spans="1:11" s="1234" customFormat="1" hidden="1">
      <c r="A102" s="1248" t="s">
        <v>2731</v>
      </c>
      <c r="B102" s="1249" t="s">
        <v>2232</v>
      </c>
      <c r="C102" s="1156">
        <v>32</v>
      </c>
      <c r="D102" s="1248" t="s">
        <v>207</v>
      </c>
      <c r="E102" s="1250">
        <v>3.2</v>
      </c>
      <c r="F102" s="1251" t="s">
        <v>2031</v>
      </c>
      <c r="G102" s="1252"/>
      <c r="H102" s="1253"/>
      <c r="I102" s="1248"/>
      <c r="J102" s="1253"/>
      <c r="K102" s="1248"/>
    </row>
    <row r="103" spans="1:11" s="1234" customFormat="1" hidden="1">
      <c r="A103" s="1248" t="s">
        <v>2732</v>
      </c>
      <c r="B103" s="1249" t="s">
        <v>2233</v>
      </c>
      <c r="C103" s="1156">
        <v>13</v>
      </c>
      <c r="D103" s="1248" t="s">
        <v>207</v>
      </c>
      <c r="E103" s="1250">
        <v>1.3</v>
      </c>
      <c r="F103" s="1251" t="s">
        <v>2031</v>
      </c>
      <c r="G103" s="1252"/>
      <c r="H103" s="1253"/>
      <c r="I103" s="1248"/>
      <c r="J103" s="1253"/>
      <c r="K103" s="1248"/>
    </row>
    <row r="104" spans="1:11" s="1234" customFormat="1" ht="25.5" hidden="1">
      <c r="A104" s="1248" t="s">
        <v>2733</v>
      </c>
      <c r="B104" s="1249" t="s">
        <v>2234</v>
      </c>
      <c r="C104" s="1156">
        <v>80</v>
      </c>
      <c r="D104" s="1248" t="s">
        <v>570</v>
      </c>
      <c r="E104" s="1250">
        <v>12.6</v>
      </c>
      <c r="F104" s="1251" t="s">
        <v>2031</v>
      </c>
      <c r="G104" s="1252"/>
      <c r="H104" s="1253"/>
      <c r="I104" s="1248"/>
      <c r="J104" s="1253"/>
      <c r="K104" s="1248"/>
    </row>
    <row r="105" spans="1:11" s="1234" customFormat="1" hidden="1">
      <c r="A105" s="1248" t="s">
        <v>2734</v>
      </c>
      <c r="B105" s="1249" t="s">
        <v>2235</v>
      </c>
      <c r="C105" s="1156">
        <v>32</v>
      </c>
      <c r="D105" s="1248" t="s">
        <v>569</v>
      </c>
      <c r="E105" s="1250">
        <v>5.9</v>
      </c>
      <c r="F105" s="1251" t="s">
        <v>2031</v>
      </c>
      <c r="G105" s="1252"/>
      <c r="H105" s="1253"/>
      <c r="I105" s="1248"/>
      <c r="J105" s="1253"/>
      <c r="K105" s="1248"/>
    </row>
    <row r="106" spans="1:11" s="1234" customFormat="1" ht="25.5" hidden="1">
      <c r="A106" s="1248" t="s">
        <v>2735</v>
      </c>
      <c r="B106" s="1249" t="s">
        <v>2236</v>
      </c>
      <c r="C106" s="1156">
        <v>27</v>
      </c>
      <c r="D106" s="1248" t="s">
        <v>570</v>
      </c>
      <c r="E106" s="1250">
        <v>4.2</v>
      </c>
      <c r="F106" s="1251" t="s">
        <v>2031</v>
      </c>
      <c r="G106" s="1252"/>
      <c r="H106" s="1253"/>
      <c r="I106" s="1248"/>
      <c r="J106" s="1253"/>
      <c r="K106" s="1248"/>
    </row>
    <row r="107" spans="1:11" s="1234" customFormat="1" ht="25.5" hidden="1">
      <c r="A107" s="1248" t="s">
        <v>2736</v>
      </c>
      <c r="B107" s="1249" t="s">
        <v>2237</v>
      </c>
      <c r="C107" s="1156">
        <v>31.5</v>
      </c>
      <c r="D107" s="1248" t="s">
        <v>570</v>
      </c>
      <c r="E107" s="1250">
        <v>5</v>
      </c>
      <c r="F107" s="1251" t="s">
        <v>2031</v>
      </c>
      <c r="G107" s="1252"/>
      <c r="H107" s="1253"/>
      <c r="I107" s="1248"/>
      <c r="J107" s="1253"/>
      <c r="K107" s="1248"/>
    </row>
    <row r="108" spans="1:11" s="1234" customFormat="1" hidden="1">
      <c r="A108" s="1248" t="s">
        <v>2737</v>
      </c>
      <c r="B108" s="1249" t="s">
        <v>2238</v>
      </c>
      <c r="C108" s="1156">
        <v>7.5</v>
      </c>
      <c r="D108" s="1248" t="s">
        <v>569</v>
      </c>
      <c r="E108" s="1250">
        <v>1.4</v>
      </c>
      <c r="F108" s="1251" t="s">
        <v>2031</v>
      </c>
      <c r="G108" s="1252"/>
      <c r="H108" s="1253"/>
      <c r="I108" s="1248"/>
      <c r="J108" s="1253"/>
      <c r="K108" s="1248"/>
    </row>
    <row r="109" spans="1:11" s="1234" customFormat="1" hidden="1">
      <c r="A109" s="1248" t="s">
        <v>2738</v>
      </c>
      <c r="B109" s="1249" t="s">
        <v>2239</v>
      </c>
      <c r="C109" s="1156">
        <v>26</v>
      </c>
      <c r="D109" s="1248" t="s">
        <v>2032</v>
      </c>
      <c r="E109" s="1250">
        <v>2.1</v>
      </c>
      <c r="F109" s="1251" t="s">
        <v>2031</v>
      </c>
      <c r="G109" s="1252"/>
      <c r="H109" s="1253"/>
      <c r="I109" s="1248"/>
      <c r="J109" s="1253"/>
      <c r="K109" s="1248"/>
    </row>
    <row r="110" spans="1:11" s="1234" customFormat="1" hidden="1">
      <c r="A110" s="1248" t="s">
        <v>2739</v>
      </c>
      <c r="B110" s="1249" t="s">
        <v>2240</v>
      </c>
      <c r="C110" s="1156">
        <v>26</v>
      </c>
      <c r="D110" s="1248" t="s">
        <v>570</v>
      </c>
      <c r="E110" s="1250">
        <v>4.0999999999999996</v>
      </c>
      <c r="F110" s="1251" t="s">
        <v>2031</v>
      </c>
      <c r="G110" s="1252"/>
      <c r="H110" s="1253"/>
      <c r="I110" s="1248"/>
      <c r="J110" s="1253"/>
      <c r="K110" s="1248"/>
    </row>
    <row r="111" spans="1:11" s="1234" customFormat="1" hidden="1">
      <c r="A111" s="1248" t="s">
        <v>2740</v>
      </c>
      <c r="B111" s="1249" t="s">
        <v>2241</v>
      </c>
      <c r="C111" s="1156">
        <v>18</v>
      </c>
      <c r="D111" s="1248" t="s">
        <v>207</v>
      </c>
      <c r="E111" s="1250">
        <v>1.8</v>
      </c>
      <c r="F111" s="1251" t="s">
        <v>2031</v>
      </c>
      <c r="G111" s="1252"/>
      <c r="H111" s="1253"/>
      <c r="I111" s="1248"/>
      <c r="J111" s="1253"/>
      <c r="K111" s="1248"/>
    </row>
    <row r="112" spans="1:11" s="1234" customFormat="1" hidden="1">
      <c r="A112" s="1248" t="s">
        <v>2741</v>
      </c>
      <c r="B112" s="1249" t="s">
        <v>2242</v>
      </c>
      <c r="C112" s="1156">
        <v>46</v>
      </c>
      <c r="D112" s="1248" t="s">
        <v>2032</v>
      </c>
      <c r="E112" s="1250">
        <v>3.7</v>
      </c>
      <c r="F112" s="1251" t="s">
        <v>2031</v>
      </c>
      <c r="G112" s="1252"/>
      <c r="H112" s="1253"/>
      <c r="I112" s="1248"/>
      <c r="J112" s="1253"/>
      <c r="K112" s="1248"/>
    </row>
    <row r="113" spans="1:11" s="1234" customFormat="1" hidden="1">
      <c r="A113" s="1248" t="s">
        <v>2742</v>
      </c>
      <c r="B113" s="1249" t="s">
        <v>2243</v>
      </c>
      <c r="C113" s="1156">
        <v>120</v>
      </c>
      <c r="D113" s="1248" t="s">
        <v>2032</v>
      </c>
      <c r="E113" s="1250">
        <v>9.6</v>
      </c>
      <c r="F113" s="1251" t="s">
        <v>2031</v>
      </c>
      <c r="G113" s="1252"/>
      <c r="H113" s="1253"/>
      <c r="I113" s="1248"/>
      <c r="J113" s="1253"/>
      <c r="K113" s="1248"/>
    </row>
    <row r="114" spans="1:11" s="1234" customFormat="1" hidden="1">
      <c r="A114" s="1248" t="s">
        <v>2743</v>
      </c>
      <c r="B114" s="1249" t="s">
        <v>2244</v>
      </c>
      <c r="C114" s="1156">
        <v>38</v>
      </c>
      <c r="D114" s="1248" t="s">
        <v>207</v>
      </c>
      <c r="E114" s="1250">
        <v>3.8</v>
      </c>
      <c r="F114" s="1251" t="s">
        <v>2031</v>
      </c>
      <c r="G114" s="1252"/>
      <c r="H114" s="1253"/>
      <c r="I114" s="1248"/>
      <c r="J114" s="1253"/>
      <c r="K114" s="1248"/>
    </row>
    <row r="115" spans="1:11" s="1234" customFormat="1" hidden="1">
      <c r="A115" s="1248" t="s">
        <v>2744</v>
      </c>
      <c r="B115" s="1249" t="s">
        <v>2245</v>
      </c>
      <c r="C115" s="1156">
        <v>33</v>
      </c>
      <c r="D115" s="1248" t="s">
        <v>570</v>
      </c>
      <c r="E115" s="1250">
        <v>5.2</v>
      </c>
      <c r="F115" s="1251" t="s">
        <v>2031</v>
      </c>
      <c r="G115" s="1252"/>
      <c r="H115" s="1253"/>
      <c r="I115" s="1248"/>
      <c r="J115" s="1253"/>
      <c r="K115" s="1248"/>
    </row>
    <row r="116" spans="1:11" s="1234" customFormat="1" ht="25.5" hidden="1">
      <c r="A116" s="1248" t="s">
        <v>2745</v>
      </c>
      <c r="B116" s="1249" t="s">
        <v>2246</v>
      </c>
      <c r="C116" s="1156">
        <v>68</v>
      </c>
      <c r="D116" s="1248" t="s">
        <v>2032</v>
      </c>
      <c r="E116" s="1250">
        <v>5.4</v>
      </c>
      <c r="F116" s="1251" t="s">
        <v>2031</v>
      </c>
      <c r="G116" s="1252"/>
      <c r="H116" s="1253"/>
      <c r="I116" s="1248"/>
      <c r="J116" s="1253"/>
      <c r="K116" s="1248"/>
    </row>
    <row r="117" spans="1:11" s="1234" customFormat="1" hidden="1">
      <c r="A117" s="1248" t="s">
        <v>2746</v>
      </c>
      <c r="B117" s="1249" t="s">
        <v>2247</v>
      </c>
      <c r="C117" s="1156">
        <v>197</v>
      </c>
      <c r="D117" s="1248" t="s">
        <v>2032</v>
      </c>
      <c r="E117" s="1250">
        <v>15.8</v>
      </c>
      <c r="F117" s="1251" t="s">
        <v>2031</v>
      </c>
      <c r="G117" s="1252"/>
      <c r="H117" s="1253"/>
      <c r="I117" s="1248"/>
      <c r="J117" s="1253"/>
      <c r="K117" s="1248"/>
    </row>
    <row r="118" spans="1:11" s="1234" customFormat="1" hidden="1">
      <c r="A118" s="1248" t="s">
        <v>2747</v>
      </c>
      <c r="B118" s="1249" t="s">
        <v>2248</v>
      </c>
      <c r="C118" s="1156">
        <v>47</v>
      </c>
      <c r="D118" s="1248" t="s">
        <v>2032</v>
      </c>
      <c r="E118" s="1250">
        <v>3.8</v>
      </c>
      <c r="F118" s="1251" t="s">
        <v>2031</v>
      </c>
      <c r="G118" s="1252"/>
      <c r="H118" s="1253"/>
      <c r="I118" s="1248"/>
      <c r="J118" s="1253"/>
      <c r="K118" s="1248"/>
    </row>
    <row r="119" spans="1:11" s="1234" customFormat="1" hidden="1">
      <c r="A119" s="1248" t="s">
        <v>2748</v>
      </c>
      <c r="B119" s="1249" t="s">
        <v>2249</v>
      </c>
      <c r="C119" s="1156">
        <v>25</v>
      </c>
      <c r="D119" s="1248" t="s">
        <v>2032</v>
      </c>
      <c r="E119" s="1250">
        <v>2</v>
      </c>
      <c r="F119" s="1251" t="s">
        <v>2031</v>
      </c>
      <c r="G119" s="1252"/>
      <c r="H119" s="1253"/>
      <c r="I119" s="1248"/>
      <c r="J119" s="1253"/>
      <c r="K119" s="1248"/>
    </row>
    <row r="120" spans="1:11" s="1234" customFormat="1" hidden="1">
      <c r="A120" s="1248" t="s">
        <v>2749</v>
      </c>
      <c r="B120" s="1249" t="s">
        <v>2250</v>
      </c>
      <c r="C120" s="1156">
        <v>18</v>
      </c>
      <c r="D120" s="1248" t="s">
        <v>2032</v>
      </c>
      <c r="E120" s="1250">
        <v>1.4</v>
      </c>
      <c r="F120" s="1251" t="s">
        <v>2031</v>
      </c>
      <c r="G120" s="1252"/>
      <c r="H120" s="1253"/>
      <c r="I120" s="1248"/>
      <c r="J120" s="1253"/>
      <c r="K120" s="1248"/>
    </row>
    <row r="121" spans="1:11" s="1234" customFormat="1" ht="25.5" hidden="1">
      <c r="A121" s="1248" t="s">
        <v>2750</v>
      </c>
      <c r="B121" s="1249" t="s">
        <v>2251</v>
      </c>
      <c r="C121" s="1156">
        <v>165</v>
      </c>
      <c r="D121" s="1248" t="s">
        <v>207</v>
      </c>
      <c r="E121" s="1250">
        <v>16.5</v>
      </c>
      <c r="F121" s="1251" t="s">
        <v>2031</v>
      </c>
      <c r="G121" s="1252"/>
      <c r="H121" s="1253"/>
      <c r="I121" s="1248"/>
      <c r="J121" s="1253"/>
      <c r="K121" s="1248"/>
    </row>
    <row r="122" spans="1:11" s="1234" customFormat="1" hidden="1">
      <c r="A122" s="1248" t="s">
        <v>2751</v>
      </c>
      <c r="B122" s="1249" t="s">
        <v>2252</v>
      </c>
      <c r="C122" s="1156">
        <v>46</v>
      </c>
      <c r="D122" s="1248" t="s">
        <v>2032</v>
      </c>
      <c r="E122" s="1250">
        <v>3.7</v>
      </c>
      <c r="F122" s="1251" t="s">
        <v>2031</v>
      </c>
      <c r="G122" s="1252"/>
      <c r="H122" s="1253"/>
      <c r="I122" s="1248"/>
      <c r="J122" s="1253"/>
      <c r="K122" s="1248"/>
    </row>
    <row r="123" spans="1:11" s="1234" customFormat="1" hidden="1">
      <c r="A123" s="1248" t="s">
        <v>2752</v>
      </c>
      <c r="B123" s="1249" t="s">
        <v>2253</v>
      </c>
      <c r="C123" s="1156">
        <v>32</v>
      </c>
      <c r="D123" s="1248" t="s">
        <v>207</v>
      </c>
      <c r="E123" s="1250">
        <v>3.2</v>
      </c>
      <c r="F123" s="1251" t="s">
        <v>2031</v>
      </c>
      <c r="G123" s="1252"/>
      <c r="H123" s="1253"/>
      <c r="I123" s="1248"/>
      <c r="J123" s="1253"/>
      <c r="K123" s="1248"/>
    </row>
    <row r="124" spans="1:11" s="1234" customFormat="1" hidden="1">
      <c r="A124" s="1248" t="s">
        <v>2753</v>
      </c>
      <c r="B124" s="1249" t="s">
        <v>2254</v>
      </c>
      <c r="C124" s="1156">
        <v>120</v>
      </c>
      <c r="D124" s="1248" t="s">
        <v>2032</v>
      </c>
      <c r="E124" s="1250">
        <v>9.6</v>
      </c>
      <c r="F124" s="1251" t="s">
        <v>2031</v>
      </c>
      <c r="G124" s="1252"/>
      <c r="H124" s="1253"/>
      <c r="I124" s="1248"/>
      <c r="J124" s="1253"/>
      <c r="K124" s="1248"/>
    </row>
    <row r="125" spans="1:11" s="1234" customFormat="1" hidden="1">
      <c r="A125" s="1248" t="s">
        <v>2754</v>
      </c>
      <c r="B125" s="1249" t="s">
        <v>2255</v>
      </c>
      <c r="C125" s="1156">
        <v>34</v>
      </c>
      <c r="D125" s="1248" t="s">
        <v>570</v>
      </c>
      <c r="E125" s="1250">
        <v>5.3</v>
      </c>
      <c r="F125" s="1251" t="s">
        <v>2031</v>
      </c>
      <c r="G125" s="1252"/>
      <c r="H125" s="1253"/>
      <c r="I125" s="1248"/>
      <c r="J125" s="1253"/>
      <c r="K125" s="1248"/>
    </row>
    <row r="126" spans="1:11" s="1234" customFormat="1" hidden="1">
      <c r="A126" s="1248" t="s">
        <v>2755</v>
      </c>
      <c r="B126" s="1249" t="s">
        <v>2256</v>
      </c>
      <c r="C126" s="1156">
        <v>38</v>
      </c>
      <c r="D126" s="1248" t="s">
        <v>207</v>
      </c>
      <c r="E126" s="1250">
        <v>3.8</v>
      </c>
      <c r="F126" s="1251" t="s">
        <v>2031</v>
      </c>
      <c r="G126" s="1252"/>
      <c r="H126" s="1253"/>
      <c r="I126" s="1248"/>
      <c r="J126" s="1253"/>
      <c r="K126" s="1248"/>
    </row>
    <row r="127" spans="1:11" s="1234" customFormat="1" hidden="1">
      <c r="A127" s="1248" t="s">
        <v>2756</v>
      </c>
      <c r="B127" s="1249" t="s">
        <v>2257</v>
      </c>
      <c r="C127" s="1156">
        <v>37</v>
      </c>
      <c r="D127" s="1248" t="s">
        <v>207</v>
      </c>
      <c r="E127" s="1250">
        <v>3.7</v>
      </c>
      <c r="F127" s="1251" t="s">
        <v>2031</v>
      </c>
      <c r="G127" s="1252"/>
      <c r="H127" s="1253"/>
      <c r="I127" s="1248"/>
      <c r="J127" s="1253"/>
      <c r="K127" s="1248"/>
    </row>
    <row r="128" spans="1:11" s="1234" customFormat="1" hidden="1">
      <c r="A128" s="1248" t="s">
        <v>2757</v>
      </c>
      <c r="B128" s="1249" t="s">
        <v>2258</v>
      </c>
      <c r="C128" s="1156">
        <v>21</v>
      </c>
      <c r="D128" s="1248" t="s">
        <v>2032</v>
      </c>
      <c r="E128" s="1250">
        <v>1.7</v>
      </c>
      <c r="F128" s="1251" t="s">
        <v>2031</v>
      </c>
      <c r="G128" s="1252"/>
      <c r="H128" s="1253"/>
      <c r="I128" s="1248"/>
      <c r="J128" s="1253"/>
      <c r="K128" s="1248"/>
    </row>
    <row r="129" spans="1:11" s="1234" customFormat="1" hidden="1">
      <c r="A129" s="1248" t="s">
        <v>2758</v>
      </c>
      <c r="B129" s="1249" t="s">
        <v>2259</v>
      </c>
      <c r="C129" s="1156">
        <v>15</v>
      </c>
      <c r="D129" s="1248" t="s">
        <v>2032</v>
      </c>
      <c r="E129" s="1250">
        <v>1.2</v>
      </c>
      <c r="F129" s="1251" t="s">
        <v>2031</v>
      </c>
      <c r="G129" s="1252"/>
      <c r="H129" s="1253"/>
      <c r="I129" s="1248"/>
      <c r="J129" s="1253"/>
      <c r="K129" s="1248"/>
    </row>
    <row r="130" spans="1:11" s="1234" customFormat="1" hidden="1">
      <c r="A130" s="1248" t="s">
        <v>2759</v>
      </c>
      <c r="B130" s="1249" t="s">
        <v>2260</v>
      </c>
      <c r="C130" s="1156">
        <v>40</v>
      </c>
      <c r="D130" s="1248" t="s">
        <v>2032</v>
      </c>
      <c r="E130" s="1250">
        <v>3.2</v>
      </c>
      <c r="F130" s="1251" t="s">
        <v>2031</v>
      </c>
      <c r="G130" s="1252"/>
      <c r="H130" s="1253"/>
      <c r="I130" s="1248"/>
      <c r="J130" s="1253"/>
      <c r="K130" s="1248"/>
    </row>
    <row r="131" spans="1:11" s="1234" customFormat="1" hidden="1">
      <c r="A131" s="1248" t="s">
        <v>2760</v>
      </c>
      <c r="B131" s="1249" t="s">
        <v>2261</v>
      </c>
      <c r="C131" s="1156">
        <v>54</v>
      </c>
      <c r="D131" s="1248" t="s">
        <v>2032</v>
      </c>
      <c r="E131" s="1250">
        <v>4.3</v>
      </c>
      <c r="F131" s="1251" t="s">
        <v>2031</v>
      </c>
      <c r="G131" s="1252"/>
      <c r="H131" s="1253"/>
      <c r="I131" s="1248"/>
      <c r="J131" s="1253"/>
      <c r="K131" s="1248"/>
    </row>
    <row r="132" spans="1:11" s="1234" customFormat="1" ht="25.5" hidden="1">
      <c r="A132" s="1248" t="s">
        <v>2761</v>
      </c>
      <c r="B132" s="1249" t="s">
        <v>2262</v>
      </c>
      <c r="C132" s="1156">
        <v>10</v>
      </c>
      <c r="D132" s="1248" t="s">
        <v>207</v>
      </c>
      <c r="E132" s="1250">
        <v>1</v>
      </c>
      <c r="F132" s="1251" t="s">
        <v>2031</v>
      </c>
      <c r="G132" s="1252"/>
      <c r="H132" s="1253"/>
      <c r="I132" s="1248"/>
      <c r="J132" s="1253"/>
      <c r="K132" s="1248"/>
    </row>
    <row r="133" spans="1:11" s="1234" customFormat="1" hidden="1">
      <c r="A133" s="1248" t="s">
        <v>2762</v>
      </c>
      <c r="B133" s="1249" t="s">
        <v>2263</v>
      </c>
      <c r="C133" s="1156">
        <v>47</v>
      </c>
      <c r="D133" s="1248" t="s">
        <v>570</v>
      </c>
      <c r="E133" s="1250">
        <v>7.4</v>
      </c>
      <c r="F133" s="1251" t="s">
        <v>2031</v>
      </c>
      <c r="G133" s="1252"/>
      <c r="H133" s="1253"/>
      <c r="I133" s="1248"/>
      <c r="J133" s="1253"/>
      <c r="K133" s="1248"/>
    </row>
    <row r="134" spans="1:11" s="1234" customFormat="1" ht="25.5" hidden="1">
      <c r="A134" s="1248" t="s">
        <v>2763</v>
      </c>
      <c r="B134" s="1249" t="s">
        <v>2264</v>
      </c>
      <c r="C134" s="1156">
        <v>18</v>
      </c>
      <c r="D134" s="1248" t="s">
        <v>2032</v>
      </c>
      <c r="E134" s="1250">
        <v>1.4</v>
      </c>
      <c r="F134" s="1251" t="s">
        <v>2031</v>
      </c>
      <c r="G134" s="1252"/>
      <c r="H134" s="1253"/>
      <c r="I134" s="1248"/>
      <c r="J134" s="1253"/>
      <c r="K134" s="1248"/>
    </row>
    <row r="135" spans="1:11" s="1234" customFormat="1" hidden="1">
      <c r="A135" s="1248" t="s">
        <v>2764</v>
      </c>
      <c r="B135" s="1249" t="s">
        <v>2265</v>
      </c>
      <c r="C135" s="1156">
        <v>35</v>
      </c>
      <c r="D135" s="1248" t="s">
        <v>207</v>
      </c>
      <c r="E135" s="1250">
        <v>3.5</v>
      </c>
      <c r="F135" s="1251" t="s">
        <v>2031</v>
      </c>
      <c r="G135" s="1252"/>
      <c r="H135" s="1253"/>
      <c r="I135" s="1248"/>
      <c r="J135" s="1253"/>
      <c r="K135" s="1248"/>
    </row>
    <row r="136" spans="1:11" s="1234" customFormat="1" hidden="1">
      <c r="A136" s="1248" t="s">
        <v>2765</v>
      </c>
      <c r="B136" s="1249" t="s">
        <v>2266</v>
      </c>
      <c r="C136" s="1156">
        <v>18</v>
      </c>
      <c r="D136" s="1248" t="s">
        <v>570</v>
      </c>
      <c r="E136" s="1250">
        <v>2.8</v>
      </c>
      <c r="F136" s="1251" t="s">
        <v>2031</v>
      </c>
      <c r="G136" s="1252"/>
      <c r="H136" s="1253"/>
      <c r="I136" s="1248"/>
      <c r="J136" s="1253"/>
      <c r="K136" s="1248"/>
    </row>
    <row r="137" spans="1:11" s="1234" customFormat="1" hidden="1">
      <c r="A137" s="1248" t="s">
        <v>2766</v>
      </c>
      <c r="B137" s="1249" t="s">
        <v>2267</v>
      </c>
      <c r="C137" s="1156">
        <v>40</v>
      </c>
      <c r="D137" s="1248" t="s">
        <v>207</v>
      </c>
      <c r="E137" s="1250">
        <v>4</v>
      </c>
      <c r="F137" s="1251" t="s">
        <v>2031</v>
      </c>
      <c r="G137" s="1252"/>
      <c r="H137" s="1253"/>
      <c r="I137" s="1248"/>
      <c r="J137" s="1253"/>
      <c r="K137" s="1248"/>
    </row>
    <row r="138" spans="1:11" s="1234" customFormat="1" hidden="1">
      <c r="A138" s="1248" t="s">
        <v>2767</v>
      </c>
      <c r="B138" s="1249" t="s">
        <v>2268</v>
      </c>
      <c r="C138" s="1156">
        <v>38</v>
      </c>
      <c r="D138" s="1248" t="s">
        <v>207</v>
      </c>
      <c r="E138" s="1250">
        <v>3.8</v>
      </c>
      <c r="F138" s="1251" t="s">
        <v>2031</v>
      </c>
      <c r="G138" s="1252"/>
      <c r="H138" s="1253"/>
      <c r="I138" s="1248"/>
      <c r="J138" s="1253"/>
      <c r="K138" s="1248"/>
    </row>
    <row r="139" spans="1:11" s="1234" customFormat="1" hidden="1">
      <c r="A139" s="1248" t="s">
        <v>2768</v>
      </c>
      <c r="B139" s="1249" t="s">
        <v>2269</v>
      </c>
      <c r="C139" s="1156">
        <v>44</v>
      </c>
      <c r="D139" s="1248" t="s">
        <v>207</v>
      </c>
      <c r="E139" s="1250">
        <v>4.4000000000000004</v>
      </c>
      <c r="F139" s="1251" t="s">
        <v>2031</v>
      </c>
      <c r="G139" s="1252"/>
      <c r="H139" s="1253"/>
      <c r="I139" s="1248"/>
      <c r="J139" s="1253"/>
      <c r="K139" s="1248"/>
    </row>
    <row r="140" spans="1:11" s="1234" customFormat="1" hidden="1">
      <c r="A140" s="1248" t="s">
        <v>2769</v>
      </c>
      <c r="B140" s="1249" t="s">
        <v>2270</v>
      </c>
      <c r="C140" s="1156">
        <v>44</v>
      </c>
      <c r="D140" s="1248" t="s">
        <v>2032</v>
      </c>
      <c r="E140" s="1250">
        <v>3.5</v>
      </c>
      <c r="F140" s="1251" t="s">
        <v>2031</v>
      </c>
      <c r="G140" s="1252"/>
      <c r="H140" s="1253"/>
      <c r="I140" s="1248"/>
      <c r="J140" s="1253"/>
      <c r="K140" s="1248"/>
    </row>
    <row r="141" spans="1:11" s="1234" customFormat="1" ht="25.5" hidden="1">
      <c r="A141" s="1248" t="s">
        <v>2770</v>
      </c>
      <c r="B141" s="1249" t="s">
        <v>2271</v>
      </c>
      <c r="C141" s="1156">
        <v>52</v>
      </c>
      <c r="D141" s="1248" t="s">
        <v>2032</v>
      </c>
      <c r="E141" s="1250">
        <v>4.2</v>
      </c>
      <c r="F141" s="1251" t="s">
        <v>2031</v>
      </c>
      <c r="G141" s="1252"/>
      <c r="H141" s="1253"/>
      <c r="I141" s="1248"/>
      <c r="J141" s="1253"/>
      <c r="K141" s="1248"/>
    </row>
    <row r="142" spans="1:11" s="1234" customFormat="1" hidden="1">
      <c r="A142" s="1248" t="s">
        <v>2771</v>
      </c>
      <c r="B142" s="1249" t="s">
        <v>2272</v>
      </c>
      <c r="C142" s="1156">
        <v>17</v>
      </c>
      <c r="D142" s="1248" t="s">
        <v>570</v>
      </c>
      <c r="E142" s="1250">
        <v>2.7</v>
      </c>
      <c r="F142" s="1251" t="s">
        <v>2031</v>
      </c>
      <c r="G142" s="1252"/>
      <c r="H142" s="1253"/>
      <c r="I142" s="1248"/>
      <c r="J142" s="1253"/>
      <c r="K142" s="1248"/>
    </row>
    <row r="143" spans="1:11" s="1247" customFormat="1" hidden="1">
      <c r="A143" s="1241">
        <v>87</v>
      </c>
      <c r="B143" s="1243" t="s">
        <v>2017</v>
      </c>
      <c r="C143" s="1155">
        <f>SUM(C144:C153)</f>
        <v>1326</v>
      </c>
      <c r="D143" s="1241"/>
      <c r="E143" s="1155">
        <f>SUM(E144:E153)</f>
        <v>172.5</v>
      </c>
      <c r="F143" s="1244"/>
      <c r="G143" s="1245"/>
      <c r="H143" s="1246"/>
      <c r="I143" s="1241"/>
      <c r="J143" s="1246"/>
      <c r="K143" s="1241"/>
    </row>
    <row r="144" spans="1:11" s="1234" customFormat="1" hidden="1">
      <c r="A144" s="1248" t="s">
        <v>2059</v>
      </c>
      <c r="B144" s="1249" t="s">
        <v>2273</v>
      </c>
      <c r="C144" s="1156">
        <v>700</v>
      </c>
      <c r="D144" s="1248" t="s">
        <v>207</v>
      </c>
      <c r="E144" s="1250">
        <v>109.9</v>
      </c>
      <c r="F144" s="1251" t="s">
        <v>2031</v>
      </c>
      <c r="G144" s="1252"/>
      <c r="H144" s="1253"/>
      <c r="I144" s="1248"/>
      <c r="J144" s="1253"/>
      <c r="K144" s="1248"/>
    </row>
    <row r="145" spans="1:11" s="1234" customFormat="1" ht="25.5" hidden="1">
      <c r="A145" s="1248" t="s">
        <v>2060</v>
      </c>
      <c r="B145" s="1249" t="s">
        <v>2274</v>
      </c>
      <c r="C145" s="1156">
        <v>130</v>
      </c>
      <c r="D145" s="1248" t="s">
        <v>207</v>
      </c>
      <c r="E145" s="1250">
        <v>13</v>
      </c>
      <c r="F145" s="1251" t="s">
        <v>2031</v>
      </c>
      <c r="G145" s="1252"/>
      <c r="H145" s="1253"/>
      <c r="I145" s="1248"/>
      <c r="J145" s="1253"/>
      <c r="K145" s="1248"/>
    </row>
    <row r="146" spans="1:11" s="1234" customFormat="1" ht="25.5" hidden="1">
      <c r="A146" s="1248" t="s">
        <v>2061</v>
      </c>
      <c r="B146" s="1249" t="s">
        <v>2275</v>
      </c>
      <c r="C146" s="1156">
        <v>100</v>
      </c>
      <c r="D146" s="1248" t="s">
        <v>207</v>
      </c>
      <c r="E146" s="1250">
        <v>10</v>
      </c>
      <c r="F146" s="1251" t="s">
        <v>2031</v>
      </c>
      <c r="G146" s="1252"/>
      <c r="H146" s="1253"/>
      <c r="I146" s="1248"/>
      <c r="J146" s="1253"/>
      <c r="K146" s="1248"/>
    </row>
    <row r="147" spans="1:11" s="1234" customFormat="1" ht="25.5" hidden="1">
      <c r="A147" s="1248" t="s">
        <v>2772</v>
      </c>
      <c r="B147" s="1249" t="s">
        <v>2276</v>
      </c>
      <c r="C147" s="1156">
        <v>100</v>
      </c>
      <c r="D147" s="1248" t="s">
        <v>207</v>
      </c>
      <c r="E147" s="1250">
        <v>10</v>
      </c>
      <c r="F147" s="1251" t="s">
        <v>2031</v>
      </c>
      <c r="G147" s="1252"/>
      <c r="H147" s="1253"/>
      <c r="I147" s="1248"/>
      <c r="J147" s="1253"/>
      <c r="K147" s="1248"/>
    </row>
    <row r="148" spans="1:11" s="1234" customFormat="1" ht="25.5" hidden="1">
      <c r="A148" s="1248" t="s">
        <v>2773</v>
      </c>
      <c r="B148" s="1249" t="s">
        <v>2277</v>
      </c>
      <c r="C148" s="1156">
        <v>30</v>
      </c>
      <c r="D148" s="1248" t="s">
        <v>207</v>
      </c>
      <c r="E148" s="1250">
        <v>3</v>
      </c>
      <c r="F148" s="1251" t="s">
        <v>2031</v>
      </c>
      <c r="G148" s="1252"/>
      <c r="H148" s="1253"/>
      <c r="I148" s="1248"/>
      <c r="J148" s="1253"/>
      <c r="K148" s="1248"/>
    </row>
    <row r="149" spans="1:11" s="1234" customFormat="1" ht="25.5" hidden="1">
      <c r="A149" s="1248" t="s">
        <v>2774</v>
      </c>
      <c r="B149" s="1249" t="s">
        <v>2278</v>
      </c>
      <c r="C149" s="1156">
        <v>31</v>
      </c>
      <c r="D149" s="1248" t="s">
        <v>207</v>
      </c>
      <c r="E149" s="1250">
        <v>3.1</v>
      </c>
      <c r="F149" s="1251" t="s">
        <v>2031</v>
      </c>
      <c r="G149" s="1252"/>
      <c r="H149" s="1253"/>
      <c r="I149" s="1248"/>
      <c r="J149" s="1253"/>
      <c r="K149" s="1248"/>
    </row>
    <row r="150" spans="1:11" s="1234" customFormat="1" ht="25.5" hidden="1">
      <c r="A150" s="1248" t="s">
        <v>2775</v>
      </c>
      <c r="B150" s="1249" t="s">
        <v>2279</v>
      </c>
      <c r="C150" s="1156">
        <v>80</v>
      </c>
      <c r="D150" s="1248" t="s">
        <v>207</v>
      </c>
      <c r="E150" s="1250">
        <v>8</v>
      </c>
      <c r="F150" s="1251" t="s">
        <v>2031</v>
      </c>
      <c r="G150" s="1252"/>
      <c r="H150" s="1253"/>
      <c r="I150" s="1248"/>
      <c r="J150" s="1253"/>
      <c r="K150" s="1248"/>
    </row>
    <row r="151" spans="1:11" s="1234" customFormat="1" ht="25.5" hidden="1">
      <c r="A151" s="1248" t="s">
        <v>2776</v>
      </c>
      <c r="B151" s="1249" t="s">
        <v>2280</v>
      </c>
      <c r="C151" s="1156">
        <v>30</v>
      </c>
      <c r="D151" s="1248" t="s">
        <v>207</v>
      </c>
      <c r="E151" s="1250">
        <v>3</v>
      </c>
      <c r="F151" s="1251" t="s">
        <v>2031</v>
      </c>
      <c r="G151" s="1252"/>
      <c r="H151" s="1253"/>
      <c r="I151" s="1248"/>
      <c r="J151" s="1253"/>
      <c r="K151" s="1248"/>
    </row>
    <row r="152" spans="1:11" s="1234" customFormat="1" ht="25.5" hidden="1">
      <c r="A152" s="1248" t="s">
        <v>2777</v>
      </c>
      <c r="B152" s="1249" t="s">
        <v>2281</v>
      </c>
      <c r="C152" s="1156">
        <v>45</v>
      </c>
      <c r="D152" s="1248" t="s">
        <v>207</v>
      </c>
      <c r="E152" s="1250">
        <v>4.5</v>
      </c>
      <c r="F152" s="1251" t="s">
        <v>2031</v>
      </c>
      <c r="G152" s="1252"/>
      <c r="H152" s="1253"/>
      <c r="I152" s="1248"/>
      <c r="J152" s="1253"/>
      <c r="K152" s="1248"/>
    </row>
    <row r="153" spans="1:11" s="1234" customFormat="1" ht="25.5" hidden="1">
      <c r="A153" s="1248" t="s">
        <v>2778</v>
      </c>
      <c r="B153" s="1249" t="s">
        <v>2282</v>
      </c>
      <c r="C153" s="1156">
        <v>80</v>
      </c>
      <c r="D153" s="1248" t="s">
        <v>207</v>
      </c>
      <c r="E153" s="1250">
        <v>8</v>
      </c>
      <c r="F153" s="1251" t="s">
        <v>2031</v>
      </c>
      <c r="G153" s="1252"/>
      <c r="H153" s="1253"/>
      <c r="I153" s="1248"/>
      <c r="J153" s="1253"/>
      <c r="K153" s="1248"/>
    </row>
    <row r="154" spans="1:11" s="1247" customFormat="1" hidden="1">
      <c r="A154" s="1241">
        <v>88</v>
      </c>
      <c r="B154" s="1243" t="s">
        <v>2034</v>
      </c>
      <c r="C154" s="1155">
        <f>SUM(C155:C156)</f>
        <v>150</v>
      </c>
      <c r="D154" s="1241"/>
      <c r="E154" s="1155">
        <f>SUM(E155:E156)</f>
        <v>15</v>
      </c>
      <c r="F154" s="1244"/>
      <c r="G154" s="1245"/>
      <c r="H154" s="1246"/>
      <c r="I154" s="1241"/>
      <c r="J154" s="1246"/>
      <c r="K154" s="1241"/>
    </row>
    <row r="155" spans="1:11" s="1234" customFormat="1" ht="25.5" hidden="1">
      <c r="A155" s="1248" t="s">
        <v>2062</v>
      </c>
      <c r="B155" s="1249" t="s">
        <v>2048</v>
      </c>
      <c r="C155" s="1156">
        <v>100</v>
      </c>
      <c r="D155" s="1248" t="s">
        <v>207</v>
      </c>
      <c r="E155" s="1250">
        <v>10</v>
      </c>
      <c r="F155" s="1251" t="s">
        <v>2031</v>
      </c>
      <c r="G155" s="1252"/>
      <c r="H155" s="1253"/>
      <c r="I155" s="1248"/>
      <c r="J155" s="1253"/>
      <c r="K155" s="1248"/>
    </row>
    <row r="156" spans="1:11" s="1234" customFormat="1" ht="25.5" hidden="1">
      <c r="A156" s="1248" t="s">
        <v>2063</v>
      </c>
      <c r="B156" s="1249" t="s">
        <v>2049</v>
      </c>
      <c r="C156" s="1156">
        <v>50</v>
      </c>
      <c r="D156" s="1248" t="s">
        <v>207</v>
      </c>
      <c r="E156" s="1250">
        <v>5</v>
      </c>
      <c r="F156" s="1251" t="s">
        <v>2031</v>
      </c>
      <c r="G156" s="1252"/>
      <c r="H156" s="1253"/>
      <c r="I156" s="1248"/>
      <c r="J156" s="1253"/>
      <c r="K156" s="1248"/>
    </row>
    <row r="157" spans="1:11" s="1247" customFormat="1" hidden="1">
      <c r="A157" s="1241">
        <v>89</v>
      </c>
      <c r="B157" s="1243" t="s">
        <v>2018</v>
      </c>
      <c r="C157" s="1155">
        <f>SUM(C158:C166)</f>
        <v>586</v>
      </c>
      <c r="D157" s="1241"/>
      <c r="E157" s="1155">
        <f>SUM(E158:E166)</f>
        <v>47.3</v>
      </c>
      <c r="F157" s="1244"/>
      <c r="G157" s="1245"/>
      <c r="H157" s="1246"/>
      <c r="I157" s="1241"/>
      <c r="J157" s="1246"/>
      <c r="K157" s="1241"/>
    </row>
    <row r="158" spans="1:11" s="1234" customFormat="1" hidden="1">
      <c r="A158" s="1248" t="s">
        <v>2779</v>
      </c>
      <c r="B158" s="1252" t="s">
        <v>2283</v>
      </c>
      <c r="C158" s="1250">
        <v>140</v>
      </c>
      <c r="D158" s="1248" t="s">
        <v>2032</v>
      </c>
      <c r="E158" s="1250">
        <v>11.2</v>
      </c>
      <c r="F158" s="1251" t="s">
        <v>2031</v>
      </c>
      <c r="G158" s="1252"/>
      <c r="H158" s="1253"/>
      <c r="I158" s="1248"/>
      <c r="J158" s="1253"/>
      <c r="K158" s="1248"/>
    </row>
    <row r="159" spans="1:11" s="1234" customFormat="1" hidden="1">
      <c r="A159" s="1248" t="s">
        <v>2780</v>
      </c>
      <c r="B159" s="1252" t="s">
        <v>2284</v>
      </c>
      <c r="C159" s="1250">
        <v>70</v>
      </c>
      <c r="D159" s="1248" t="s">
        <v>2032</v>
      </c>
      <c r="E159" s="1250">
        <v>5.6</v>
      </c>
      <c r="F159" s="1251" t="s">
        <v>2031</v>
      </c>
      <c r="G159" s="1252"/>
      <c r="H159" s="1253"/>
      <c r="I159" s="1248"/>
      <c r="J159" s="1253"/>
      <c r="K159" s="1248"/>
    </row>
    <row r="160" spans="1:11" s="1234" customFormat="1" hidden="1">
      <c r="A160" s="1248" t="s">
        <v>2781</v>
      </c>
      <c r="B160" s="1252" t="s">
        <v>2285</v>
      </c>
      <c r="C160" s="1250">
        <v>60</v>
      </c>
      <c r="D160" s="1248" t="s">
        <v>2032</v>
      </c>
      <c r="E160" s="1250">
        <v>4.8</v>
      </c>
      <c r="F160" s="1251" t="s">
        <v>2031</v>
      </c>
      <c r="G160" s="1252"/>
      <c r="H160" s="1253"/>
      <c r="I160" s="1248"/>
      <c r="J160" s="1253"/>
      <c r="K160" s="1248"/>
    </row>
    <row r="161" spans="1:11" s="1234" customFormat="1" hidden="1">
      <c r="A161" s="1248" t="s">
        <v>2782</v>
      </c>
      <c r="B161" s="1252" t="s">
        <v>2286</v>
      </c>
      <c r="C161" s="1250">
        <v>55</v>
      </c>
      <c r="D161" s="1248" t="s">
        <v>2032</v>
      </c>
      <c r="E161" s="1250">
        <v>4.4000000000000004</v>
      </c>
      <c r="F161" s="1251" t="s">
        <v>2031</v>
      </c>
      <c r="G161" s="1252"/>
      <c r="H161" s="1253"/>
      <c r="I161" s="1248"/>
      <c r="J161" s="1253"/>
      <c r="K161" s="1248"/>
    </row>
    <row r="162" spans="1:11" s="1234" customFormat="1" hidden="1">
      <c r="A162" s="1248" t="s">
        <v>2783</v>
      </c>
      <c r="B162" s="1252" t="s">
        <v>2287</v>
      </c>
      <c r="C162" s="1250">
        <v>65</v>
      </c>
      <c r="D162" s="1248" t="s">
        <v>2032</v>
      </c>
      <c r="E162" s="1250">
        <v>5.2</v>
      </c>
      <c r="F162" s="1251" t="s">
        <v>2031</v>
      </c>
      <c r="G162" s="1252"/>
      <c r="H162" s="1253"/>
      <c r="I162" s="1248"/>
      <c r="J162" s="1253"/>
      <c r="K162" s="1248"/>
    </row>
    <row r="163" spans="1:11" s="1234" customFormat="1" hidden="1">
      <c r="A163" s="1248" t="s">
        <v>2784</v>
      </c>
      <c r="B163" s="1252" t="s">
        <v>2288</v>
      </c>
      <c r="C163" s="1250">
        <v>50</v>
      </c>
      <c r="D163" s="1248" t="s">
        <v>2032</v>
      </c>
      <c r="E163" s="1250">
        <v>4.4000000000000004</v>
      </c>
      <c r="F163" s="1251" t="s">
        <v>2031</v>
      </c>
      <c r="G163" s="1252"/>
      <c r="H163" s="1253"/>
      <c r="I163" s="1248"/>
      <c r="J163" s="1253"/>
      <c r="K163" s="1248"/>
    </row>
    <row r="164" spans="1:11" s="1234" customFormat="1" hidden="1">
      <c r="A164" s="1248" t="s">
        <v>2785</v>
      </c>
      <c r="B164" s="1252" t="s">
        <v>2289</v>
      </c>
      <c r="C164" s="1250">
        <v>36</v>
      </c>
      <c r="D164" s="1248" t="s">
        <v>2032</v>
      </c>
      <c r="E164" s="1250">
        <v>2.9</v>
      </c>
      <c r="F164" s="1251" t="s">
        <v>2031</v>
      </c>
      <c r="G164" s="1252"/>
      <c r="H164" s="1253"/>
      <c r="I164" s="1248"/>
      <c r="J164" s="1253"/>
      <c r="K164" s="1248"/>
    </row>
    <row r="165" spans="1:11" s="1234" customFormat="1" hidden="1">
      <c r="A165" s="1248" t="s">
        <v>2786</v>
      </c>
      <c r="B165" s="1252" t="s">
        <v>2290</v>
      </c>
      <c r="C165" s="1250">
        <v>50</v>
      </c>
      <c r="D165" s="1248" t="s">
        <v>2032</v>
      </c>
      <c r="E165" s="1250">
        <v>4</v>
      </c>
      <c r="F165" s="1251" t="s">
        <v>2031</v>
      </c>
      <c r="G165" s="1252"/>
      <c r="H165" s="1253"/>
      <c r="I165" s="1248"/>
      <c r="J165" s="1253"/>
      <c r="K165" s="1248"/>
    </row>
    <row r="166" spans="1:11" s="1234" customFormat="1" hidden="1">
      <c r="A166" s="1248" t="s">
        <v>2787</v>
      </c>
      <c r="B166" s="1252" t="s">
        <v>2291</v>
      </c>
      <c r="C166" s="1250">
        <v>60</v>
      </c>
      <c r="D166" s="1248" t="s">
        <v>2032</v>
      </c>
      <c r="E166" s="1250">
        <v>4.8</v>
      </c>
      <c r="F166" s="1251" t="s">
        <v>2031</v>
      </c>
      <c r="G166" s="1252"/>
      <c r="H166" s="1253"/>
      <c r="I166" s="1248"/>
      <c r="J166" s="1253"/>
      <c r="K166" s="1248"/>
    </row>
    <row r="167" spans="1:11" s="1247" customFormat="1" ht="14.25" hidden="1" customHeight="1">
      <c r="A167" s="1241">
        <v>90</v>
      </c>
      <c r="B167" s="1245" t="s">
        <v>2035</v>
      </c>
      <c r="C167" s="1254">
        <f>SUM(C168:C193)</f>
        <v>2165</v>
      </c>
      <c r="D167" s="1241"/>
      <c r="E167" s="1254">
        <f>SUM(E168:E193)</f>
        <v>289.34800000000007</v>
      </c>
      <c r="F167" s="1244"/>
      <c r="G167" s="1245"/>
      <c r="H167" s="1246"/>
      <c r="I167" s="1241"/>
      <c r="J167" s="1246"/>
      <c r="K167" s="1241"/>
    </row>
    <row r="168" spans="1:11" s="1234" customFormat="1" hidden="1">
      <c r="A168" s="1248" t="s">
        <v>2064</v>
      </c>
      <c r="B168" s="1252" t="s">
        <v>2292</v>
      </c>
      <c r="C168" s="1250">
        <v>60</v>
      </c>
      <c r="D168" s="1248" t="s">
        <v>207</v>
      </c>
      <c r="E168" s="1250">
        <v>6</v>
      </c>
      <c r="F168" s="1251" t="s">
        <v>2031</v>
      </c>
      <c r="G168" s="1252"/>
      <c r="H168" s="1253"/>
      <c r="I168" s="1248"/>
      <c r="J168" s="1253"/>
      <c r="K168" s="1248"/>
    </row>
    <row r="169" spans="1:11" s="1234" customFormat="1" hidden="1">
      <c r="A169" s="1248" t="s">
        <v>2065</v>
      </c>
      <c r="B169" s="1252" t="s">
        <v>2293</v>
      </c>
      <c r="C169" s="1250">
        <v>90</v>
      </c>
      <c r="D169" s="1248" t="s">
        <v>570</v>
      </c>
      <c r="E169" s="1250">
        <v>14.147999999999998</v>
      </c>
      <c r="F169" s="1251" t="s">
        <v>2031</v>
      </c>
      <c r="G169" s="1252"/>
      <c r="H169" s="1253"/>
      <c r="I169" s="1248"/>
      <c r="J169" s="1253"/>
      <c r="K169" s="1248"/>
    </row>
    <row r="170" spans="1:11" s="1234" customFormat="1" ht="25.5" hidden="1">
      <c r="A170" s="1248" t="s">
        <v>2066</v>
      </c>
      <c r="B170" s="1252" t="s">
        <v>2294</v>
      </c>
      <c r="C170" s="1250">
        <v>150</v>
      </c>
      <c r="D170" s="1248" t="s">
        <v>570</v>
      </c>
      <c r="E170" s="1250">
        <v>23.5</v>
      </c>
      <c r="F170" s="1251" t="s">
        <v>2031</v>
      </c>
      <c r="G170" s="1252"/>
      <c r="H170" s="1253"/>
      <c r="I170" s="1248"/>
      <c r="J170" s="1253"/>
      <c r="K170" s="1248"/>
    </row>
    <row r="171" spans="1:11" s="1234" customFormat="1" ht="25.5" hidden="1">
      <c r="A171" s="1248" t="s">
        <v>2067</v>
      </c>
      <c r="B171" s="1252" t="s">
        <v>2295</v>
      </c>
      <c r="C171" s="1250">
        <v>73</v>
      </c>
      <c r="D171" s="1248" t="s">
        <v>570</v>
      </c>
      <c r="E171" s="1250">
        <v>11.5</v>
      </c>
      <c r="F171" s="1251" t="s">
        <v>2031</v>
      </c>
      <c r="G171" s="1252"/>
      <c r="H171" s="1253"/>
      <c r="I171" s="1248"/>
      <c r="J171" s="1253"/>
      <c r="K171" s="1248"/>
    </row>
    <row r="172" spans="1:11" s="1234" customFormat="1" ht="25.5" hidden="1">
      <c r="A172" s="1248" t="s">
        <v>2068</v>
      </c>
      <c r="B172" s="1252" t="s">
        <v>2296</v>
      </c>
      <c r="C172" s="1250">
        <v>13</v>
      </c>
      <c r="D172" s="1248" t="s">
        <v>570</v>
      </c>
      <c r="E172" s="1250">
        <v>2</v>
      </c>
      <c r="F172" s="1251" t="s">
        <v>2031</v>
      </c>
      <c r="G172" s="1252"/>
      <c r="H172" s="1253"/>
      <c r="I172" s="1248"/>
      <c r="J172" s="1253"/>
      <c r="K172" s="1248"/>
    </row>
    <row r="173" spans="1:11" s="1234" customFormat="1" ht="25.5" hidden="1">
      <c r="A173" s="1248" t="s">
        <v>2069</v>
      </c>
      <c r="B173" s="1252" t="s">
        <v>2297</v>
      </c>
      <c r="C173" s="1250">
        <v>211</v>
      </c>
      <c r="D173" s="1248" t="s">
        <v>207</v>
      </c>
      <c r="E173" s="1250">
        <v>21.1</v>
      </c>
      <c r="F173" s="1251" t="s">
        <v>2031</v>
      </c>
      <c r="G173" s="1252"/>
      <c r="H173" s="1253"/>
      <c r="I173" s="1248"/>
      <c r="J173" s="1253"/>
      <c r="K173" s="1248"/>
    </row>
    <row r="174" spans="1:11" s="1234" customFormat="1" ht="25.5" hidden="1">
      <c r="A174" s="1248" t="s">
        <v>2070</v>
      </c>
      <c r="B174" s="1252" t="s">
        <v>2298</v>
      </c>
      <c r="C174" s="1250">
        <v>27</v>
      </c>
      <c r="D174" s="1248" t="s">
        <v>570</v>
      </c>
      <c r="E174" s="1250">
        <v>4.3</v>
      </c>
      <c r="F174" s="1251" t="s">
        <v>2031</v>
      </c>
      <c r="G174" s="1252"/>
      <c r="H174" s="1253"/>
      <c r="I174" s="1248"/>
      <c r="J174" s="1253"/>
      <c r="K174" s="1248"/>
    </row>
    <row r="175" spans="1:11" s="1234" customFormat="1" ht="25.5" hidden="1">
      <c r="A175" s="1248" t="s">
        <v>2071</v>
      </c>
      <c r="B175" s="1252" t="s">
        <v>2299</v>
      </c>
      <c r="C175" s="1250">
        <v>118</v>
      </c>
      <c r="D175" s="1248" t="s">
        <v>570</v>
      </c>
      <c r="E175" s="1250">
        <v>18.5</v>
      </c>
      <c r="F175" s="1251" t="s">
        <v>2031</v>
      </c>
      <c r="G175" s="1252"/>
      <c r="H175" s="1253"/>
      <c r="I175" s="1248"/>
      <c r="J175" s="1253"/>
      <c r="K175" s="1248"/>
    </row>
    <row r="176" spans="1:11" s="1234" customFormat="1" ht="25.5" hidden="1">
      <c r="A176" s="1248" t="s">
        <v>2136</v>
      </c>
      <c r="B176" s="1252" t="s">
        <v>2300</v>
      </c>
      <c r="C176" s="1250">
        <v>160</v>
      </c>
      <c r="D176" s="1248" t="s">
        <v>570</v>
      </c>
      <c r="E176" s="1250">
        <v>25.2</v>
      </c>
      <c r="F176" s="1251" t="s">
        <v>2031</v>
      </c>
      <c r="G176" s="1252"/>
      <c r="H176" s="1253"/>
      <c r="I176" s="1248"/>
      <c r="J176" s="1253"/>
      <c r="K176" s="1248"/>
    </row>
    <row r="177" spans="1:11" s="1234" customFormat="1" ht="25.5" hidden="1">
      <c r="A177" s="1248" t="s">
        <v>2137</v>
      </c>
      <c r="B177" s="1252" t="s">
        <v>2301</v>
      </c>
      <c r="C177" s="1250">
        <v>270</v>
      </c>
      <c r="D177" s="1248" t="s">
        <v>570</v>
      </c>
      <c r="E177" s="1250">
        <v>42.4</v>
      </c>
      <c r="F177" s="1251" t="s">
        <v>2031</v>
      </c>
      <c r="G177" s="1252"/>
      <c r="H177" s="1253"/>
      <c r="I177" s="1248"/>
      <c r="J177" s="1253"/>
      <c r="K177" s="1248"/>
    </row>
    <row r="178" spans="1:11" s="1234" customFormat="1" ht="25.5" hidden="1">
      <c r="A178" s="1248" t="s">
        <v>2138</v>
      </c>
      <c r="B178" s="1252" t="s">
        <v>2302</v>
      </c>
      <c r="C178" s="1250">
        <v>40</v>
      </c>
      <c r="D178" s="1248" t="s">
        <v>570</v>
      </c>
      <c r="E178" s="1250">
        <v>6.3</v>
      </c>
      <c r="F178" s="1251" t="s">
        <v>2031</v>
      </c>
      <c r="G178" s="1252"/>
      <c r="H178" s="1253"/>
      <c r="I178" s="1248"/>
      <c r="J178" s="1253"/>
      <c r="K178" s="1248"/>
    </row>
    <row r="179" spans="1:11" s="1234" customFormat="1" ht="25.5" hidden="1">
      <c r="A179" s="1248" t="s">
        <v>2139</v>
      </c>
      <c r="B179" s="1252" t="s">
        <v>2303</v>
      </c>
      <c r="C179" s="1250">
        <v>47</v>
      </c>
      <c r="D179" s="1248" t="s">
        <v>207</v>
      </c>
      <c r="E179" s="1250">
        <v>4.7</v>
      </c>
      <c r="F179" s="1251" t="s">
        <v>2031</v>
      </c>
      <c r="G179" s="1252"/>
      <c r="H179" s="1253"/>
      <c r="I179" s="1248"/>
      <c r="J179" s="1253"/>
      <c r="K179" s="1248"/>
    </row>
    <row r="180" spans="1:11" s="1234" customFormat="1" ht="25.5" hidden="1">
      <c r="A180" s="1248" t="s">
        <v>2140</v>
      </c>
      <c r="B180" s="1252" t="s">
        <v>2304</v>
      </c>
      <c r="C180" s="1250">
        <v>72</v>
      </c>
      <c r="D180" s="1248" t="s">
        <v>570</v>
      </c>
      <c r="E180" s="1250">
        <v>11.3</v>
      </c>
      <c r="F180" s="1251" t="s">
        <v>2031</v>
      </c>
      <c r="G180" s="1252"/>
      <c r="H180" s="1253"/>
      <c r="I180" s="1248"/>
      <c r="J180" s="1253"/>
      <c r="K180" s="1248"/>
    </row>
    <row r="181" spans="1:11" s="1234" customFormat="1" ht="25.5" hidden="1">
      <c r="A181" s="1248" t="s">
        <v>2788</v>
      </c>
      <c r="B181" s="1252" t="s">
        <v>2305</v>
      </c>
      <c r="C181" s="1250">
        <v>56</v>
      </c>
      <c r="D181" s="1248" t="s">
        <v>2032</v>
      </c>
      <c r="E181" s="1250">
        <v>4.5</v>
      </c>
      <c r="F181" s="1251" t="s">
        <v>2031</v>
      </c>
      <c r="G181" s="1252"/>
      <c r="H181" s="1253"/>
      <c r="I181" s="1248"/>
      <c r="J181" s="1253"/>
      <c r="K181" s="1248"/>
    </row>
    <row r="182" spans="1:11" s="1234" customFormat="1" ht="25.5" hidden="1">
      <c r="A182" s="1248" t="s">
        <v>2789</v>
      </c>
      <c r="B182" s="1252" t="s">
        <v>2306</v>
      </c>
      <c r="C182" s="1250">
        <v>34</v>
      </c>
      <c r="D182" s="1248" t="s">
        <v>2032</v>
      </c>
      <c r="E182" s="1250">
        <v>2.7</v>
      </c>
      <c r="F182" s="1251" t="s">
        <v>2031</v>
      </c>
      <c r="G182" s="1252"/>
      <c r="H182" s="1253"/>
      <c r="I182" s="1248"/>
      <c r="J182" s="1253"/>
      <c r="K182" s="1248"/>
    </row>
    <row r="183" spans="1:11" s="1234" customFormat="1" ht="25.5" hidden="1">
      <c r="A183" s="1248" t="s">
        <v>2790</v>
      </c>
      <c r="B183" s="1252" t="s">
        <v>2307</v>
      </c>
      <c r="C183" s="1250">
        <v>53</v>
      </c>
      <c r="D183" s="1248" t="s">
        <v>207</v>
      </c>
      <c r="E183" s="1250">
        <v>5.3</v>
      </c>
      <c r="F183" s="1251" t="s">
        <v>2031</v>
      </c>
      <c r="G183" s="1252"/>
      <c r="H183" s="1253"/>
      <c r="I183" s="1248"/>
      <c r="J183" s="1253"/>
      <c r="K183" s="1248"/>
    </row>
    <row r="184" spans="1:11" s="1234" customFormat="1" ht="25.5" hidden="1">
      <c r="A184" s="1248" t="s">
        <v>2791</v>
      </c>
      <c r="B184" s="1252" t="s">
        <v>2308</v>
      </c>
      <c r="C184" s="1250">
        <v>22</v>
      </c>
      <c r="D184" s="1248" t="s">
        <v>207</v>
      </c>
      <c r="E184" s="1250">
        <v>2.2000000000000002</v>
      </c>
      <c r="F184" s="1251" t="s">
        <v>2031</v>
      </c>
      <c r="G184" s="1252"/>
      <c r="H184" s="1253"/>
      <c r="I184" s="1248"/>
      <c r="J184" s="1253"/>
      <c r="K184" s="1248"/>
    </row>
    <row r="185" spans="1:11" s="1234" customFormat="1" ht="25.5" hidden="1">
      <c r="A185" s="1248" t="s">
        <v>2792</v>
      </c>
      <c r="B185" s="1252" t="s">
        <v>2309</v>
      </c>
      <c r="C185" s="1250">
        <v>40</v>
      </c>
      <c r="D185" s="1248" t="s">
        <v>207</v>
      </c>
      <c r="E185" s="1250">
        <v>4</v>
      </c>
      <c r="F185" s="1251" t="s">
        <v>2031</v>
      </c>
      <c r="G185" s="1252"/>
      <c r="H185" s="1253"/>
      <c r="I185" s="1248"/>
      <c r="J185" s="1253"/>
      <c r="K185" s="1248"/>
    </row>
    <row r="186" spans="1:11" s="1234" customFormat="1" ht="25.5" hidden="1">
      <c r="A186" s="1248" t="s">
        <v>2793</v>
      </c>
      <c r="B186" s="1252" t="s">
        <v>2310</v>
      </c>
      <c r="C186" s="1250">
        <v>36</v>
      </c>
      <c r="D186" s="1248" t="s">
        <v>2032</v>
      </c>
      <c r="E186" s="1250">
        <v>2.9</v>
      </c>
      <c r="F186" s="1251" t="s">
        <v>2031</v>
      </c>
      <c r="G186" s="1252"/>
      <c r="H186" s="1253"/>
      <c r="I186" s="1248"/>
      <c r="J186" s="1253"/>
      <c r="K186" s="1248"/>
    </row>
    <row r="187" spans="1:11" s="1234" customFormat="1" ht="25.5" hidden="1">
      <c r="A187" s="1248" t="s">
        <v>2794</v>
      </c>
      <c r="B187" s="1252" t="s">
        <v>2311</v>
      </c>
      <c r="C187" s="1250">
        <v>38</v>
      </c>
      <c r="D187" s="1248" t="s">
        <v>207</v>
      </c>
      <c r="E187" s="1250">
        <v>3.8</v>
      </c>
      <c r="F187" s="1251" t="s">
        <v>2031</v>
      </c>
      <c r="G187" s="1252"/>
      <c r="H187" s="1253"/>
      <c r="I187" s="1248"/>
      <c r="J187" s="1253"/>
      <c r="K187" s="1248"/>
    </row>
    <row r="188" spans="1:11" s="1234" customFormat="1" ht="25.5" hidden="1">
      <c r="A188" s="1248" t="s">
        <v>2795</v>
      </c>
      <c r="B188" s="1252" t="s">
        <v>2312</v>
      </c>
      <c r="C188" s="1250">
        <v>42</v>
      </c>
      <c r="D188" s="1248" t="s">
        <v>2032</v>
      </c>
      <c r="E188" s="1250">
        <v>3.4</v>
      </c>
      <c r="F188" s="1251" t="s">
        <v>2031</v>
      </c>
      <c r="G188" s="1252"/>
      <c r="H188" s="1253"/>
      <c r="I188" s="1248"/>
      <c r="J188" s="1253"/>
      <c r="K188" s="1248"/>
    </row>
    <row r="189" spans="1:11" s="1234" customFormat="1" ht="25.5" hidden="1">
      <c r="A189" s="1248" t="s">
        <v>2796</v>
      </c>
      <c r="B189" s="1252" t="s">
        <v>2313</v>
      </c>
      <c r="C189" s="1250">
        <v>112</v>
      </c>
      <c r="D189" s="1248" t="s">
        <v>2032</v>
      </c>
      <c r="E189" s="1250">
        <v>9</v>
      </c>
      <c r="F189" s="1251" t="s">
        <v>2031</v>
      </c>
      <c r="G189" s="1252"/>
      <c r="H189" s="1253"/>
      <c r="I189" s="1248"/>
      <c r="J189" s="1253"/>
      <c r="K189" s="1248"/>
    </row>
    <row r="190" spans="1:11" s="1234" customFormat="1" ht="25.5" hidden="1">
      <c r="A190" s="1248" t="s">
        <v>2797</v>
      </c>
      <c r="B190" s="1252" t="s">
        <v>2314</v>
      </c>
      <c r="C190" s="1250">
        <v>16</v>
      </c>
      <c r="D190" s="1248" t="s">
        <v>207</v>
      </c>
      <c r="E190" s="1250">
        <v>1.6</v>
      </c>
      <c r="F190" s="1251" t="s">
        <v>2031</v>
      </c>
      <c r="G190" s="1252"/>
      <c r="H190" s="1253"/>
      <c r="I190" s="1248"/>
      <c r="J190" s="1253"/>
      <c r="K190" s="1248"/>
    </row>
    <row r="191" spans="1:11" s="1234" customFormat="1" ht="25.5" hidden="1">
      <c r="A191" s="1248" t="s">
        <v>2798</v>
      </c>
      <c r="B191" s="1252" t="s">
        <v>2315</v>
      </c>
      <c r="C191" s="1250">
        <v>215</v>
      </c>
      <c r="D191" s="1248" t="s">
        <v>570</v>
      </c>
      <c r="E191" s="1250">
        <v>33.799999999999997</v>
      </c>
      <c r="F191" s="1251" t="s">
        <v>2031</v>
      </c>
      <c r="G191" s="1252"/>
      <c r="H191" s="1253"/>
      <c r="I191" s="1248"/>
      <c r="J191" s="1253"/>
      <c r="K191" s="1248"/>
    </row>
    <row r="192" spans="1:11" s="1234" customFormat="1" ht="25.5" hidden="1">
      <c r="A192" s="1248" t="s">
        <v>2799</v>
      </c>
      <c r="B192" s="1252" t="s">
        <v>2316</v>
      </c>
      <c r="C192" s="1250">
        <v>20</v>
      </c>
      <c r="D192" s="1248" t="s">
        <v>2032</v>
      </c>
      <c r="E192" s="1250">
        <v>1.6</v>
      </c>
      <c r="F192" s="1251" t="s">
        <v>2031</v>
      </c>
      <c r="G192" s="1252"/>
      <c r="H192" s="1253"/>
      <c r="I192" s="1248"/>
      <c r="J192" s="1253"/>
      <c r="K192" s="1248"/>
    </row>
    <row r="193" spans="1:11" s="1234" customFormat="1" ht="25.5" hidden="1">
      <c r="A193" s="1248" t="s">
        <v>2800</v>
      </c>
      <c r="B193" s="1252" t="s">
        <v>2317</v>
      </c>
      <c r="C193" s="1250">
        <v>150</v>
      </c>
      <c r="D193" s="1248" t="s">
        <v>570</v>
      </c>
      <c r="E193" s="1250">
        <v>23.6</v>
      </c>
      <c r="F193" s="1251" t="s">
        <v>2031</v>
      </c>
      <c r="G193" s="1252"/>
      <c r="H193" s="1253"/>
      <c r="I193" s="1248"/>
      <c r="J193" s="1253"/>
      <c r="K193" s="1248"/>
    </row>
    <row r="194" spans="1:11" s="1247" customFormat="1" hidden="1">
      <c r="A194" s="1241">
        <v>91</v>
      </c>
      <c r="B194" s="1245" t="s">
        <v>2036</v>
      </c>
      <c r="C194" s="1254">
        <f>SUM(C195:C213)</f>
        <v>1281</v>
      </c>
      <c r="D194" s="1241"/>
      <c r="E194" s="1254">
        <f>SUM(E195:E213)</f>
        <v>156.16</v>
      </c>
      <c r="F194" s="1244"/>
      <c r="G194" s="1245"/>
      <c r="H194" s="1246"/>
      <c r="I194" s="1241"/>
      <c r="J194" s="1246"/>
      <c r="K194" s="1241"/>
    </row>
    <row r="195" spans="1:11" s="1234" customFormat="1" hidden="1">
      <c r="A195" s="1248" t="s">
        <v>2072</v>
      </c>
      <c r="B195" s="1252" t="s">
        <v>2318</v>
      </c>
      <c r="C195" s="1250">
        <v>30</v>
      </c>
      <c r="D195" s="1248" t="s">
        <v>207</v>
      </c>
      <c r="E195" s="1250">
        <v>4.5599999999999996</v>
      </c>
      <c r="F195" s="1251" t="s">
        <v>2031</v>
      </c>
      <c r="G195" s="1252"/>
      <c r="H195" s="1253"/>
      <c r="I195" s="1248"/>
      <c r="J195" s="1253"/>
      <c r="K195" s="1248"/>
    </row>
    <row r="196" spans="1:11" s="1234" customFormat="1" ht="25.5" hidden="1">
      <c r="A196" s="1248" t="s">
        <v>2073</v>
      </c>
      <c r="B196" s="1252" t="s">
        <v>2319</v>
      </c>
      <c r="C196" s="1250">
        <v>50</v>
      </c>
      <c r="D196" s="1248" t="s">
        <v>207</v>
      </c>
      <c r="E196" s="1250">
        <v>7.6</v>
      </c>
      <c r="F196" s="1251" t="s">
        <v>2031</v>
      </c>
      <c r="G196" s="1252"/>
      <c r="H196" s="1253"/>
      <c r="I196" s="1248"/>
      <c r="J196" s="1253"/>
      <c r="K196" s="1248"/>
    </row>
    <row r="197" spans="1:11" s="1234" customFormat="1" ht="25.5" hidden="1">
      <c r="A197" s="1248" t="s">
        <v>2074</v>
      </c>
      <c r="B197" s="1252" t="s">
        <v>2320</v>
      </c>
      <c r="C197" s="1250">
        <v>100</v>
      </c>
      <c r="D197" s="1248" t="s">
        <v>570</v>
      </c>
      <c r="E197" s="1250">
        <v>10</v>
      </c>
      <c r="F197" s="1251" t="s">
        <v>2031</v>
      </c>
      <c r="G197" s="1252"/>
      <c r="H197" s="1253"/>
      <c r="I197" s="1248"/>
      <c r="J197" s="1253"/>
      <c r="K197" s="1248"/>
    </row>
    <row r="198" spans="1:11" s="1234" customFormat="1" ht="25.5" hidden="1">
      <c r="A198" s="1248" t="s">
        <v>2075</v>
      </c>
      <c r="B198" s="1252" t="s">
        <v>2321</v>
      </c>
      <c r="C198" s="1250">
        <v>150</v>
      </c>
      <c r="D198" s="1248" t="s">
        <v>570</v>
      </c>
      <c r="E198" s="1250">
        <v>18.7</v>
      </c>
      <c r="F198" s="1251" t="s">
        <v>2031</v>
      </c>
      <c r="G198" s="1252"/>
      <c r="H198" s="1253"/>
      <c r="I198" s="1248"/>
      <c r="J198" s="1253"/>
      <c r="K198" s="1248"/>
    </row>
    <row r="199" spans="1:11" s="1234" customFormat="1" hidden="1">
      <c r="A199" s="1248" t="s">
        <v>2076</v>
      </c>
      <c r="B199" s="1252" t="s">
        <v>2322</v>
      </c>
      <c r="C199" s="1250">
        <v>120</v>
      </c>
      <c r="D199" s="1248" t="s">
        <v>570</v>
      </c>
      <c r="E199" s="1250">
        <v>16.899999999999999</v>
      </c>
      <c r="F199" s="1251" t="s">
        <v>2031</v>
      </c>
      <c r="G199" s="1252"/>
      <c r="H199" s="1253"/>
      <c r="I199" s="1248"/>
      <c r="J199" s="1253"/>
      <c r="K199" s="1248"/>
    </row>
    <row r="200" spans="1:11" s="1234" customFormat="1" ht="25.5" hidden="1">
      <c r="A200" s="1248" t="s">
        <v>2077</v>
      </c>
      <c r="B200" s="1252" t="s">
        <v>2323</v>
      </c>
      <c r="C200" s="1250">
        <v>40</v>
      </c>
      <c r="D200" s="1248" t="s">
        <v>207</v>
      </c>
      <c r="E200" s="1250">
        <v>5.0999999999999996</v>
      </c>
      <c r="F200" s="1251" t="s">
        <v>2031</v>
      </c>
      <c r="G200" s="1252"/>
      <c r="H200" s="1253"/>
      <c r="I200" s="1248"/>
      <c r="J200" s="1253"/>
      <c r="K200" s="1248"/>
    </row>
    <row r="201" spans="1:11" s="1234" customFormat="1" hidden="1">
      <c r="A201" s="1248" t="s">
        <v>2078</v>
      </c>
      <c r="B201" s="1252" t="s">
        <v>2324</v>
      </c>
      <c r="C201" s="1250">
        <v>80</v>
      </c>
      <c r="D201" s="1248" t="s">
        <v>207</v>
      </c>
      <c r="E201" s="1250">
        <v>8</v>
      </c>
      <c r="F201" s="1251" t="s">
        <v>2031</v>
      </c>
      <c r="G201" s="1252"/>
      <c r="H201" s="1253"/>
      <c r="I201" s="1248"/>
      <c r="J201" s="1253"/>
      <c r="K201" s="1248"/>
    </row>
    <row r="202" spans="1:11" s="1234" customFormat="1" hidden="1">
      <c r="A202" s="1248" t="s">
        <v>2079</v>
      </c>
      <c r="B202" s="1252" t="s">
        <v>2325</v>
      </c>
      <c r="C202" s="1250">
        <v>75</v>
      </c>
      <c r="D202" s="1248" t="s">
        <v>207</v>
      </c>
      <c r="E202" s="1250">
        <v>7.1</v>
      </c>
      <c r="F202" s="1251" t="s">
        <v>2031</v>
      </c>
      <c r="G202" s="1252"/>
      <c r="H202" s="1253"/>
      <c r="I202" s="1248"/>
      <c r="J202" s="1253"/>
      <c r="K202" s="1248"/>
    </row>
    <row r="203" spans="1:11" s="1234" customFormat="1" ht="25.5" hidden="1">
      <c r="A203" s="1248" t="s">
        <v>2080</v>
      </c>
      <c r="B203" s="1252" t="s">
        <v>2326</v>
      </c>
      <c r="C203" s="1250">
        <v>76</v>
      </c>
      <c r="D203" s="1248" t="s">
        <v>207</v>
      </c>
      <c r="E203" s="1250">
        <v>7.2</v>
      </c>
      <c r="F203" s="1251" t="s">
        <v>2031</v>
      </c>
      <c r="G203" s="1252"/>
      <c r="H203" s="1253"/>
      <c r="I203" s="1248"/>
      <c r="J203" s="1253"/>
      <c r="K203" s="1248"/>
    </row>
    <row r="204" spans="1:11" s="1234" customFormat="1" ht="25.5" hidden="1">
      <c r="A204" s="1248" t="s">
        <v>2081</v>
      </c>
      <c r="B204" s="1252" t="s">
        <v>2327</v>
      </c>
      <c r="C204" s="1250">
        <v>40</v>
      </c>
      <c r="D204" s="1248" t="s">
        <v>207</v>
      </c>
      <c r="E204" s="1250">
        <v>5.0999999999999996</v>
      </c>
      <c r="F204" s="1251" t="s">
        <v>2031</v>
      </c>
      <c r="G204" s="1252"/>
      <c r="H204" s="1253"/>
      <c r="I204" s="1248"/>
      <c r="J204" s="1253"/>
      <c r="K204" s="1248"/>
    </row>
    <row r="205" spans="1:11" s="1234" customFormat="1" ht="25.5" hidden="1">
      <c r="A205" s="1248" t="s">
        <v>2801</v>
      </c>
      <c r="B205" s="1252" t="s">
        <v>2328</v>
      </c>
      <c r="C205" s="1250">
        <v>30</v>
      </c>
      <c r="D205" s="1248" t="s">
        <v>207</v>
      </c>
      <c r="E205" s="1250">
        <v>3.8</v>
      </c>
      <c r="F205" s="1251" t="s">
        <v>2031</v>
      </c>
      <c r="G205" s="1252"/>
      <c r="H205" s="1253"/>
      <c r="I205" s="1248"/>
      <c r="J205" s="1253"/>
      <c r="K205" s="1248"/>
    </row>
    <row r="206" spans="1:11" s="1234" customFormat="1" ht="25.5" hidden="1">
      <c r="A206" s="1248" t="s">
        <v>2802</v>
      </c>
      <c r="B206" s="1252" t="s">
        <v>2329</v>
      </c>
      <c r="C206" s="1250">
        <v>30</v>
      </c>
      <c r="D206" s="1248" t="s">
        <v>207</v>
      </c>
      <c r="E206" s="1250">
        <v>3.8</v>
      </c>
      <c r="F206" s="1251" t="s">
        <v>2031</v>
      </c>
      <c r="G206" s="1252"/>
      <c r="H206" s="1253"/>
      <c r="I206" s="1248"/>
      <c r="J206" s="1253"/>
      <c r="K206" s="1248"/>
    </row>
    <row r="207" spans="1:11" s="1234" customFormat="1" ht="25.5" hidden="1">
      <c r="A207" s="1248" t="s">
        <v>2803</v>
      </c>
      <c r="B207" s="1252" t="s">
        <v>2330</v>
      </c>
      <c r="C207" s="1250">
        <v>70</v>
      </c>
      <c r="D207" s="1248" t="s">
        <v>207</v>
      </c>
      <c r="E207" s="1250">
        <v>7</v>
      </c>
      <c r="F207" s="1251" t="s">
        <v>2031</v>
      </c>
      <c r="G207" s="1252"/>
      <c r="H207" s="1253"/>
      <c r="I207" s="1248"/>
      <c r="J207" s="1253"/>
      <c r="K207" s="1248"/>
    </row>
    <row r="208" spans="1:11" s="1234" customFormat="1" ht="25.5" hidden="1">
      <c r="A208" s="1248" t="s">
        <v>2804</v>
      </c>
      <c r="B208" s="1252" t="s">
        <v>2331</v>
      </c>
      <c r="C208" s="1250">
        <v>80</v>
      </c>
      <c r="D208" s="1248" t="s">
        <v>207</v>
      </c>
      <c r="E208" s="1250">
        <v>8</v>
      </c>
      <c r="F208" s="1251" t="s">
        <v>2031</v>
      </c>
      <c r="G208" s="1252"/>
      <c r="H208" s="1253"/>
      <c r="I208" s="1248"/>
      <c r="J208" s="1253"/>
      <c r="K208" s="1248"/>
    </row>
    <row r="209" spans="1:11" s="1234" customFormat="1" hidden="1">
      <c r="A209" s="1248" t="s">
        <v>2805</v>
      </c>
      <c r="B209" s="1252" t="s">
        <v>2332</v>
      </c>
      <c r="C209" s="1250">
        <v>40</v>
      </c>
      <c r="D209" s="1248" t="s">
        <v>207</v>
      </c>
      <c r="E209" s="1250">
        <v>5.0999999999999996</v>
      </c>
      <c r="F209" s="1251" t="s">
        <v>2031</v>
      </c>
      <c r="G209" s="1252"/>
      <c r="H209" s="1253"/>
      <c r="I209" s="1248"/>
      <c r="J209" s="1253"/>
      <c r="K209" s="1248"/>
    </row>
    <row r="210" spans="1:11" s="1234" customFormat="1" hidden="1">
      <c r="A210" s="1248" t="s">
        <v>2806</v>
      </c>
      <c r="B210" s="1252" t="s">
        <v>2333</v>
      </c>
      <c r="C210" s="1250">
        <v>140</v>
      </c>
      <c r="D210" s="1248" t="s">
        <v>570</v>
      </c>
      <c r="E210" s="1250">
        <v>17.8</v>
      </c>
      <c r="F210" s="1251" t="s">
        <v>2031</v>
      </c>
      <c r="G210" s="1252"/>
      <c r="H210" s="1253"/>
      <c r="I210" s="1248"/>
      <c r="J210" s="1253"/>
      <c r="K210" s="1248"/>
    </row>
    <row r="211" spans="1:11" s="1234" customFormat="1" ht="25.5" hidden="1">
      <c r="A211" s="1248" t="s">
        <v>2807</v>
      </c>
      <c r="B211" s="1252" t="s">
        <v>2334</v>
      </c>
      <c r="C211" s="1250">
        <v>40</v>
      </c>
      <c r="D211" s="1248" t="s">
        <v>207</v>
      </c>
      <c r="E211" s="1250">
        <v>9</v>
      </c>
      <c r="F211" s="1251" t="s">
        <v>2031</v>
      </c>
      <c r="G211" s="1252"/>
      <c r="H211" s="1253"/>
      <c r="I211" s="1248"/>
      <c r="J211" s="1253"/>
      <c r="K211" s="1248"/>
    </row>
    <row r="212" spans="1:11" s="1234" customFormat="1" ht="25.5" hidden="1">
      <c r="A212" s="1248" t="s">
        <v>2808</v>
      </c>
      <c r="B212" s="1252" t="s">
        <v>2335</v>
      </c>
      <c r="C212" s="1250">
        <v>60</v>
      </c>
      <c r="D212" s="1248" t="s">
        <v>207</v>
      </c>
      <c r="E212" s="1250">
        <v>7.6</v>
      </c>
      <c r="F212" s="1251" t="s">
        <v>2031</v>
      </c>
      <c r="G212" s="1252"/>
      <c r="H212" s="1253"/>
      <c r="I212" s="1248"/>
      <c r="J212" s="1253"/>
      <c r="K212" s="1248"/>
    </row>
    <row r="213" spans="1:11" s="1234" customFormat="1" ht="25.5" hidden="1">
      <c r="A213" s="1248" t="s">
        <v>2809</v>
      </c>
      <c r="B213" s="1252" t="s">
        <v>2336</v>
      </c>
      <c r="C213" s="1250">
        <v>30</v>
      </c>
      <c r="D213" s="1248" t="s">
        <v>207</v>
      </c>
      <c r="E213" s="1250">
        <v>3.8</v>
      </c>
      <c r="F213" s="1251" t="s">
        <v>2031</v>
      </c>
      <c r="G213" s="1252"/>
      <c r="H213" s="1253"/>
      <c r="I213" s="1248"/>
      <c r="J213" s="1253"/>
      <c r="K213" s="1248"/>
    </row>
    <row r="214" spans="1:11" s="1247" customFormat="1" hidden="1">
      <c r="A214" s="1241">
        <v>92</v>
      </c>
      <c r="B214" s="1245" t="s">
        <v>2037</v>
      </c>
      <c r="C214" s="1254">
        <f>SUM(C215:C223)</f>
        <v>670</v>
      </c>
      <c r="D214" s="1241"/>
      <c r="E214" s="1254">
        <f>SUM(E215:E223)</f>
        <v>105.324</v>
      </c>
      <c r="F214" s="1244"/>
      <c r="G214" s="1245"/>
      <c r="H214" s="1246"/>
      <c r="I214" s="1241"/>
      <c r="J214" s="1246"/>
      <c r="K214" s="1241"/>
    </row>
    <row r="215" spans="1:11" s="1234" customFormat="1" ht="25.5" hidden="1">
      <c r="A215" s="1248" t="s">
        <v>2082</v>
      </c>
      <c r="B215" s="1252" t="s">
        <v>2337</v>
      </c>
      <c r="C215" s="1250">
        <v>100</v>
      </c>
      <c r="D215" s="1248" t="s">
        <v>570</v>
      </c>
      <c r="E215" s="1250">
        <v>15.72</v>
      </c>
      <c r="F215" s="1251" t="s">
        <v>2031</v>
      </c>
      <c r="G215" s="1252"/>
      <c r="H215" s="1253"/>
      <c r="I215" s="1248"/>
      <c r="J215" s="1253"/>
      <c r="K215" s="1248"/>
    </row>
    <row r="216" spans="1:11" s="1234" customFormat="1" ht="25.5" hidden="1">
      <c r="A216" s="1248" t="s">
        <v>2083</v>
      </c>
      <c r="B216" s="1252" t="s">
        <v>2338</v>
      </c>
      <c r="C216" s="1250">
        <v>60</v>
      </c>
      <c r="D216" s="1248" t="s">
        <v>570</v>
      </c>
      <c r="E216" s="1250">
        <v>9.4320000000000004</v>
      </c>
      <c r="F216" s="1251" t="s">
        <v>2031</v>
      </c>
      <c r="G216" s="1252"/>
      <c r="H216" s="1253"/>
      <c r="I216" s="1248"/>
      <c r="J216" s="1253"/>
      <c r="K216" s="1248"/>
    </row>
    <row r="217" spans="1:11" s="1234" customFormat="1" ht="25.5" hidden="1">
      <c r="A217" s="1248" t="s">
        <v>2084</v>
      </c>
      <c r="B217" s="1252" t="s">
        <v>2339</v>
      </c>
      <c r="C217" s="1250">
        <v>30</v>
      </c>
      <c r="D217" s="1248" t="s">
        <v>570</v>
      </c>
      <c r="E217" s="1250">
        <v>4.7160000000000002</v>
      </c>
      <c r="F217" s="1251" t="s">
        <v>2031</v>
      </c>
      <c r="G217" s="1252"/>
      <c r="H217" s="1253"/>
      <c r="I217" s="1248"/>
      <c r="J217" s="1253"/>
      <c r="K217" s="1248"/>
    </row>
    <row r="218" spans="1:11" s="1234" customFormat="1" ht="25.5" hidden="1">
      <c r="A218" s="1248" t="s">
        <v>2085</v>
      </c>
      <c r="B218" s="1252" t="s">
        <v>2340</v>
      </c>
      <c r="C218" s="1250">
        <v>30</v>
      </c>
      <c r="D218" s="1248" t="s">
        <v>570</v>
      </c>
      <c r="E218" s="1250">
        <v>4.7160000000000002</v>
      </c>
      <c r="F218" s="1251" t="s">
        <v>2031</v>
      </c>
      <c r="G218" s="1252"/>
      <c r="H218" s="1253"/>
      <c r="I218" s="1248"/>
      <c r="J218" s="1253"/>
      <c r="K218" s="1248"/>
    </row>
    <row r="219" spans="1:11" s="1234" customFormat="1" ht="25.5" hidden="1">
      <c r="A219" s="1248" t="s">
        <v>2086</v>
      </c>
      <c r="B219" s="1252" t="s">
        <v>2341</v>
      </c>
      <c r="C219" s="1250">
        <v>200</v>
      </c>
      <c r="D219" s="1248" t="s">
        <v>570</v>
      </c>
      <c r="E219" s="1250">
        <v>31.44</v>
      </c>
      <c r="F219" s="1251" t="s">
        <v>2031</v>
      </c>
      <c r="G219" s="1252"/>
      <c r="H219" s="1253"/>
      <c r="I219" s="1248"/>
      <c r="J219" s="1253"/>
      <c r="K219" s="1248"/>
    </row>
    <row r="220" spans="1:11" s="1234" customFormat="1" ht="25.5" hidden="1">
      <c r="A220" s="1248" t="s">
        <v>2087</v>
      </c>
      <c r="B220" s="1252" t="s">
        <v>2342</v>
      </c>
      <c r="C220" s="1250">
        <v>60</v>
      </c>
      <c r="D220" s="1248" t="s">
        <v>570</v>
      </c>
      <c r="E220" s="1250">
        <v>9.4320000000000004</v>
      </c>
      <c r="F220" s="1251" t="s">
        <v>2031</v>
      </c>
      <c r="G220" s="1252"/>
      <c r="H220" s="1253"/>
      <c r="I220" s="1248"/>
      <c r="J220" s="1253"/>
      <c r="K220" s="1248"/>
    </row>
    <row r="221" spans="1:11" s="1234" customFormat="1" ht="25.5" hidden="1">
      <c r="A221" s="1248" t="s">
        <v>2810</v>
      </c>
      <c r="B221" s="1252" t="s">
        <v>2343</v>
      </c>
      <c r="C221" s="1250">
        <v>100</v>
      </c>
      <c r="D221" s="1248" t="s">
        <v>570</v>
      </c>
      <c r="E221" s="1250">
        <v>15.72</v>
      </c>
      <c r="F221" s="1251" t="s">
        <v>2031</v>
      </c>
      <c r="G221" s="1252"/>
      <c r="H221" s="1253"/>
      <c r="I221" s="1248"/>
      <c r="J221" s="1253"/>
      <c r="K221" s="1248"/>
    </row>
    <row r="222" spans="1:11" s="1234" customFormat="1" ht="25.5" hidden="1">
      <c r="A222" s="1248" t="s">
        <v>2811</v>
      </c>
      <c r="B222" s="1252" t="s">
        <v>2344</v>
      </c>
      <c r="C222" s="1250">
        <v>40</v>
      </c>
      <c r="D222" s="1248" t="s">
        <v>570</v>
      </c>
      <c r="E222" s="1250">
        <v>6.2880000000000003</v>
      </c>
      <c r="F222" s="1251" t="s">
        <v>2031</v>
      </c>
      <c r="G222" s="1252"/>
      <c r="H222" s="1253"/>
      <c r="I222" s="1248"/>
      <c r="J222" s="1253"/>
      <c r="K222" s="1248"/>
    </row>
    <row r="223" spans="1:11" s="1234" customFormat="1" ht="25.5" hidden="1">
      <c r="A223" s="1248" t="s">
        <v>2812</v>
      </c>
      <c r="B223" s="1252" t="s">
        <v>2345</v>
      </c>
      <c r="C223" s="1250">
        <v>50</v>
      </c>
      <c r="D223" s="1248" t="s">
        <v>570</v>
      </c>
      <c r="E223" s="1250">
        <v>7.86</v>
      </c>
      <c r="F223" s="1251" t="s">
        <v>2031</v>
      </c>
      <c r="G223" s="1252"/>
      <c r="H223" s="1253"/>
      <c r="I223" s="1248"/>
      <c r="J223" s="1253"/>
      <c r="K223" s="1248"/>
    </row>
    <row r="224" spans="1:11" s="1247" customFormat="1" hidden="1">
      <c r="A224" s="1241">
        <v>93</v>
      </c>
      <c r="B224" s="1245" t="s">
        <v>2038</v>
      </c>
      <c r="C224" s="1254">
        <f>SUM(C225:C233)</f>
        <v>600</v>
      </c>
      <c r="D224" s="1241"/>
      <c r="E224" s="1254">
        <f>SUM(E225:E233)</f>
        <v>56.769999999999996</v>
      </c>
      <c r="F224" s="1244"/>
      <c r="G224" s="1245"/>
      <c r="H224" s="1246"/>
      <c r="I224" s="1241"/>
      <c r="J224" s="1246"/>
      <c r="K224" s="1241"/>
    </row>
    <row r="225" spans="1:11" s="1234" customFormat="1" hidden="1">
      <c r="A225" s="1248" t="s">
        <v>2088</v>
      </c>
      <c r="B225" s="1252" t="s">
        <v>2346</v>
      </c>
      <c r="C225" s="1250">
        <v>50</v>
      </c>
      <c r="D225" s="1248" t="s">
        <v>207</v>
      </c>
      <c r="E225" s="1250">
        <v>5</v>
      </c>
      <c r="F225" s="1251" t="s">
        <v>2031</v>
      </c>
      <c r="G225" s="1252"/>
      <c r="H225" s="1253" t="s">
        <v>2039</v>
      </c>
      <c r="I225" s="1248">
        <f>E225/C225</f>
        <v>0.1</v>
      </c>
      <c r="J225" s="1253"/>
      <c r="K225" s="1248"/>
    </row>
    <row r="226" spans="1:11" s="1234" customFormat="1" hidden="1">
      <c r="A226" s="1248" t="s">
        <v>2089</v>
      </c>
      <c r="B226" s="1252" t="s">
        <v>2347</v>
      </c>
      <c r="C226" s="1250">
        <v>30</v>
      </c>
      <c r="D226" s="1248" t="s">
        <v>2032</v>
      </c>
      <c r="E226" s="1250">
        <v>2.4</v>
      </c>
      <c r="F226" s="1251" t="s">
        <v>2031</v>
      </c>
      <c r="G226" s="1252"/>
      <c r="H226" s="1253" t="s">
        <v>2040</v>
      </c>
      <c r="I226" s="1248">
        <f t="shared" ref="I226:I233" si="0">E226/C226</f>
        <v>0.08</v>
      </c>
      <c r="J226" s="1253"/>
      <c r="K226" s="1248"/>
    </row>
    <row r="227" spans="1:11" s="1234" customFormat="1" hidden="1">
      <c r="A227" s="1248" t="s">
        <v>2090</v>
      </c>
      <c r="B227" s="1252" t="s">
        <v>2348</v>
      </c>
      <c r="C227" s="1250">
        <v>29</v>
      </c>
      <c r="D227" s="1248" t="s">
        <v>2032</v>
      </c>
      <c r="E227" s="1250">
        <v>2.3199999999999998</v>
      </c>
      <c r="F227" s="1251" t="s">
        <v>2031</v>
      </c>
      <c r="G227" s="1252"/>
      <c r="H227" s="1253" t="s">
        <v>2039</v>
      </c>
      <c r="I227" s="1248">
        <f t="shared" si="0"/>
        <v>7.9999999999999988E-2</v>
      </c>
      <c r="J227" s="1253"/>
      <c r="K227" s="1248"/>
    </row>
    <row r="228" spans="1:11" s="1234" customFormat="1" hidden="1">
      <c r="A228" s="1248" t="s">
        <v>2091</v>
      </c>
      <c r="B228" s="1252" t="s">
        <v>2349</v>
      </c>
      <c r="C228" s="1250">
        <v>100</v>
      </c>
      <c r="D228" s="1248" t="s">
        <v>207</v>
      </c>
      <c r="E228" s="1250">
        <v>10</v>
      </c>
      <c r="F228" s="1251" t="s">
        <v>2031</v>
      </c>
      <c r="G228" s="1252"/>
      <c r="H228" s="1253" t="s">
        <v>2041</v>
      </c>
      <c r="I228" s="1248">
        <f t="shared" si="0"/>
        <v>0.1</v>
      </c>
      <c r="J228" s="1253"/>
      <c r="K228" s="1248"/>
    </row>
    <row r="229" spans="1:11" s="1234" customFormat="1" hidden="1">
      <c r="A229" s="1248" t="s">
        <v>2092</v>
      </c>
      <c r="B229" s="1252" t="s">
        <v>2350</v>
      </c>
      <c r="C229" s="1250">
        <v>120</v>
      </c>
      <c r="D229" s="1248" t="s">
        <v>2032</v>
      </c>
      <c r="E229" s="1250">
        <v>9.6</v>
      </c>
      <c r="F229" s="1251" t="s">
        <v>2031</v>
      </c>
      <c r="G229" s="1252"/>
      <c r="H229" s="1253" t="s">
        <v>2042</v>
      </c>
      <c r="I229" s="1248">
        <f t="shared" si="0"/>
        <v>0.08</v>
      </c>
      <c r="J229" s="1253"/>
      <c r="K229" s="1248"/>
    </row>
    <row r="230" spans="1:11" s="1234" customFormat="1" hidden="1">
      <c r="A230" s="1248" t="s">
        <v>2813</v>
      </c>
      <c r="B230" s="1252" t="s">
        <v>2351</v>
      </c>
      <c r="C230" s="1250">
        <v>150</v>
      </c>
      <c r="D230" s="1248" t="s">
        <v>2032</v>
      </c>
      <c r="E230" s="1250">
        <v>12</v>
      </c>
      <c r="F230" s="1251" t="s">
        <v>2031</v>
      </c>
      <c r="G230" s="1252"/>
      <c r="H230" s="1253" t="s">
        <v>2043</v>
      </c>
      <c r="I230" s="1248">
        <f t="shared" si="0"/>
        <v>0.08</v>
      </c>
      <c r="J230" s="1253"/>
      <c r="K230" s="1248"/>
    </row>
    <row r="231" spans="1:11" s="1234" customFormat="1" hidden="1">
      <c r="A231" s="1248" t="s">
        <v>2814</v>
      </c>
      <c r="B231" s="1252" t="s">
        <v>2352</v>
      </c>
      <c r="C231" s="1250">
        <v>65</v>
      </c>
      <c r="D231" s="1248" t="s">
        <v>570</v>
      </c>
      <c r="E231" s="1250">
        <v>10.210000000000001</v>
      </c>
      <c r="F231" s="1251" t="s">
        <v>2031</v>
      </c>
      <c r="G231" s="1252"/>
      <c r="H231" s="1253" t="s">
        <v>2043</v>
      </c>
      <c r="I231" s="1248">
        <f t="shared" si="0"/>
        <v>0.15707692307692309</v>
      </c>
      <c r="J231" s="1253"/>
      <c r="K231" s="1248"/>
    </row>
    <row r="232" spans="1:11" s="1234" customFormat="1" hidden="1">
      <c r="A232" s="1248" t="s">
        <v>2815</v>
      </c>
      <c r="B232" s="1252" t="s">
        <v>2353</v>
      </c>
      <c r="C232" s="1250">
        <v>38</v>
      </c>
      <c r="D232" s="1248" t="s">
        <v>207</v>
      </c>
      <c r="E232" s="1250">
        <v>3.8</v>
      </c>
      <c r="F232" s="1251" t="s">
        <v>2031</v>
      </c>
      <c r="G232" s="1252"/>
      <c r="H232" s="1253" t="s">
        <v>2043</v>
      </c>
      <c r="I232" s="1248">
        <f t="shared" si="0"/>
        <v>9.9999999999999992E-2</v>
      </c>
      <c r="J232" s="1253"/>
      <c r="K232" s="1248"/>
    </row>
    <row r="233" spans="1:11" s="1234" customFormat="1" hidden="1">
      <c r="A233" s="1248" t="s">
        <v>2816</v>
      </c>
      <c r="B233" s="1252" t="s">
        <v>2354</v>
      </c>
      <c r="C233" s="1250">
        <v>18</v>
      </c>
      <c r="D233" s="1248" t="s">
        <v>2032</v>
      </c>
      <c r="E233" s="1250">
        <v>1.44</v>
      </c>
      <c r="F233" s="1251" t="s">
        <v>2031</v>
      </c>
      <c r="G233" s="1252"/>
      <c r="H233" s="1253" t="s">
        <v>2043</v>
      </c>
      <c r="I233" s="1248">
        <f t="shared" si="0"/>
        <v>0.08</v>
      </c>
      <c r="J233" s="1253"/>
      <c r="K233" s="1248"/>
    </row>
    <row r="234" spans="1:11" s="1247" customFormat="1" hidden="1">
      <c r="A234" s="1241">
        <v>94</v>
      </c>
      <c r="B234" s="1245" t="s">
        <v>2044</v>
      </c>
      <c r="C234" s="1254">
        <f>SUM(C235:C272)</f>
        <v>2862</v>
      </c>
      <c r="D234" s="1241"/>
      <c r="E234" s="1254">
        <f>SUM(E235:E272)</f>
        <v>359.94999999999993</v>
      </c>
      <c r="F234" s="1244"/>
      <c r="G234" s="1245"/>
      <c r="H234" s="1246"/>
      <c r="I234" s="1241"/>
      <c r="J234" s="1246"/>
      <c r="K234" s="1241"/>
    </row>
    <row r="235" spans="1:11" s="1234" customFormat="1" ht="25.5" hidden="1">
      <c r="A235" s="1248" t="s">
        <v>2093</v>
      </c>
      <c r="B235" s="1252" t="s">
        <v>2355</v>
      </c>
      <c r="C235" s="1250">
        <v>60</v>
      </c>
      <c r="D235" s="1248" t="s">
        <v>207</v>
      </c>
      <c r="E235" s="1250">
        <v>7.6</v>
      </c>
      <c r="F235" s="1251" t="s">
        <v>2031</v>
      </c>
      <c r="G235" s="1252"/>
      <c r="H235" s="1253"/>
      <c r="I235" s="1248"/>
      <c r="J235" s="1253"/>
      <c r="K235" s="1248"/>
    </row>
    <row r="236" spans="1:11" s="1234" customFormat="1" ht="25.5" hidden="1">
      <c r="A236" s="1248" t="s">
        <v>2094</v>
      </c>
      <c r="B236" s="1252" t="s">
        <v>2356</v>
      </c>
      <c r="C236" s="1250">
        <v>40</v>
      </c>
      <c r="D236" s="1248" t="s">
        <v>207</v>
      </c>
      <c r="E236" s="1250">
        <v>5.0999999999999996</v>
      </c>
      <c r="F236" s="1251" t="s">
        <v>2031</v>
      </c>
      <c r="G236" s="1252"/>
      <c r="H236" s="1253"/>
      <c r="I236" s="1248"/>
      <c r="J236" s="1253"/>
      <c r="K236" s="1248"/>
    </row>
    <row r="237" spans="1:11" s="1234" customFormat="1" ht="25.5" hidden="1">
      <c r="A237" s="1248" t="s">
        <v>2095</v>
      </c>
      <c r="B237" s="1252" t="s">
        <v>2357</v>
      </c>
      <c r="C237" s="1250">
        <v>200</v>
      </c>
      <c r="D237" s="1248" t="s">
        <v>570</v>
      </c>
      <c r="E237" s="1250">
        <v>31.4</v>
      </c>
      <c r="F237" s="1251" t="s">
        <v>2031</v>
      </c>
      <c r="G237" s="1252"/>
      <c r="H237" s="1253"/>
      <c r="I237" s="1248"/>
      <c r="J237" s="1253"/>
      <c r="K237" s="1248"/>
    </row>
    <row r="238" spans="1:11" s="1234" customFormat="1" ht="25.5" hidden="1">
      <c r="A238" s="1248" t="s">
        <v>2096</v>
      </c>
      <c r="B238" s="1252" t="s">
        <v>2358</v>
      </c>
      <c r="C238" s="1250">
        <v>60</v>
      </c>
      <c r="D238" s="1248" t="s">
        <v>207</v>
      </c>
      <c r="E238" s="1250">
        <v>6</v>
      </c>
      <c r="F238" s="1251" t="s">
        <v>2031</v>
      </c>
      <c r="G238" s="1252"/>
      <c r="H238" s="1253"/>
      <c r="I238" s="1248"/>
      <c r="J238" s="1253"/>
      <c r="K238" s="1248"/>
    </row>
    <row r="239" spans="1:11" s="1234" customFormat="1" ht="25.5" hidden="1">
      <c r="A239" s="1248" t="s">
        <v>2097</v>
      </c>
      <c r="B239" s="1252" t="s">
        <v>2300</v>
      </c>
      <c r="C239" s="1250">
        <v>160</v>
      </c>
      <c r="D239" s="1248" t="s">
        <v>570</v>
      </c>
      <c r="E239" s="1250">
        <v>25.2</v>
      </c>
      <c r="F239" s="1251" t="s">
        <v>2031</v>
      </c>
      <c r="G239" s="1252"/>
      <c r="H239" s="1253"/>
      <c r="I239" s="1248"/>
      <c r="J239" s="1253"/>
      <c r="K239" s="1248"/>
    </row>
    <row r="240" spans="1:11" s="1234" customFormat="1" ht="25.5" hidden="1">
      <c r="A240" s="1248" t="s">
        <v>2098</v>
      </c>
      <c r="B240" s="1252" t="s">
        <v>2301</v>
      </c>
      <c r="C240" s="1250">
        <v>270</v>
      </c>
      <c r="D240" s="1248" t="s">
        <v>570</v>
      </c>
      <c r="E240" s="1250">
        <v>42.4</v>
      </c>
      <c r="F240" s="1251" t="s">
        <v>2031</v>
      </c>
      <c r="G240" s="1252"/>
      <c r="H240" s="1253"/>
      <c r="I240" s="1248"/>
      <c r="J240" s="1253"/>
      <c r="K240" s="1248"/>
    </row>
    <row r="241" spans="1:11" s="1234" customFormat="1" ht="25.5" hidden="1">
      <c r="A241" s="1248" t="s">
        <v>2099</v>
      </c>
      <c r="B241" s="1252" t="s">
        <v>2359</v>
      </c>
      <c r="C241" s="1250">
        <v>85</v>
      </c>
      <c r="D241" s="1248" t="s">
        <v>2032</v>
      </c>
      <c r="E241" s="1250">
        <v>6.8</v>
      </c>
      <c r="F241" s="1251" t="s">
        <v>2031</v>
      </c>
      <c r="G241" s="1252"/>
      <c r="H241" s="1253"/>
      <c r="I241" s="1248"/>
      <c r="J241" s="1253"/>
      <c r="K241" s="1248"/>
    </row>
    <row r="242" spans="1:11" s="1234" customFormat="1" ht="25.5" hidden="1">
      <c r="A242" s="1248" t="s">
        <v>2100</v>
      </c>
      <c r="B242" s="1252" t="s">
        <v>2360</v>
      </c>
      <c r="C242" s="1250">
        <v>47</v>
      </c>
      <c r="D242" s="1248" t="s">
        <v>2032</v>
      </c>
      <c r="E242" s="1250">
        <v>3.76</v>
      </c>
      <c r="F242" s="1251" t="s">
        <v>2031</v>
      </c>
      <c r="G242" s="1252"/>
      <c r="H242" s="1253"/>
      <c r="I242" s="1248"/>
      <c r="J242" s="1253"/>
      <c r="K242" s="1248"/>
    </row>
    <row r="243" spans="1:11" s="1234" customFormat="1" ht="25.5" hidden="1">
      <c r="A243" s="1248" t="s">
        <v>2101</v>
      </c>
      <c r="B243" s="1252" t="s">
        <v>2361</v>
      </c>
      <c r="C243" s="1250">
        <v>40</v>
      </c>
      <c r="D243" s="1248" t="s">
        <v>207</v>
      </c>
      <c r="E243" s="1250">
        <v>4</v>
      </c>
      <c r="F243" s="1251" t="s">
        <v>2031</v>
      </c>
      <c r="G243" s="1252"/>
      <c r="H243" s="1253"/>
      <c r="I243" s="1248"/>
      <c r="J243" s="1253"/>
      <c r="K243" s="1248"/>
    </row>
    <row r="244" spans="1:11" s="1234" customFormat="1" ht="25.5" hidden="1">
      <c r="A244" s="1248" t="s">
        <v>2102</v>
      </c>
      <c r="B244" s="1252" t="s">
        <v>2362</v>
      </c>
      <c r="C244" s="1250">
        <v>105</v>
      </c>
      <c r="D244" s="1248" t="s">
        <v>570</v>
      </c>
      <c r="E244" s="1250">
        <v>16.510000000000002</v>
      </c>
      <c r="F244" s="1251" t="s">
        <v>2031</v>
      </c>
      <c r="G244" s="1252"/>
      <c r="H244" s="1253"/>
      <c r="I244" s="1248"/>
      <c r="J244" s="1253"/>
      <c r="K244" s="1248"/>
    </row>
    <row r="245" spans="1:11" s="1234" customFormat="1" ht="25.5" hidden="1">
      <c r="A245" s="1248" t="s">
        <v>2103</v>
      </c>
      <c r="B245" s="1252" t="s">
        <v>2363</v>
      </c>
      <c r="C245" s="1250">
        <v>60</v>
      </c>
      <c r="D245" s="1248" t="s">
        <v>570</v>
      </c>
      <c r="E245" s="1250">
        <v>9.43</v>
      </c>
      <c r="F245" s="1251" t="s">
        <v>2031</v>
      </c>
      <c r="G245" s="1252"/>
      <c r="H245" s="1253"/>
      <c r="I245" s="1248"/>
      <c r="J245" s="1253"/>
      <c r="K245" s="1248"/>
    </row>
    <row r="246" spans="1:11" s="1234" customFormat="1" ht="25.5" hidden="1">
      <c r="A246" s="1248" t="s">
        <v>2104</v>
      </c>
      <c r="B246" s="1252" t="s">
        <v>2364</v>
      </c>
      <c r="C246" s="1250">
        <v>40</v>
      </c>
      <c r="D246" s="1248" t="s">
        <v>207</v>
      </c>
      <c r="E246" s="1250">
        <v>4</v>
      </c>
      <c r="F246" s="1251" t="s">
        <v>2031</v>
      </c>
      <c r="G246" s="1252"/>
      <c r="H246" s="1253"/>
      <c r="I246" s="1248"/>
      <c r="J246" s="1253"/>
      <c r="K246" s="1248"/>
    </row>
    <row r="247" spans="1:11" s="1234" customFormat="1" ht="25.5" hidden="1">
      <c r="A247" s="1248" t="s">
        <v>2105</v>
      </c>
      <c r="B247" s="1252" t="s">
        <v>2365</v>
      </c>
      <c r="C247" s="1250">
        <v>50</v>
      </c>
      <c r="D247" s="1248" t="s">
        <v>2032</v>
      </c>
      <c r="E247" s="1250">
        <v>4</v>
      </c>
      <c r="F247" s="1251" t="s">
        <v>2031</v>
      </c>
      <c r="G247" s="1252"/>
      <c r="H247" s="1253"/>
      <c r="I247" s="1248"/>
      <c r="J247" s="1253"/>
      <c r="K247" s="1248"/>
    </row>
    <row r="248" spans="1:11" s="1234" customFormat="1" ht="25.5" hidden="1">
      <c r="A248" s="1248" t="s">
        <v>2106</v>
      </c>
      <c r="B248" s="1252" t="s">
        <v>2366</v>
      </c>
      <c r="C248" s="1250">
        <v>70</v>
      </c>
      <c r="D248" s="1248" t="s">
        <v>207</v>
      </c>
      <c r="E248" s="1250">
        <v>7</v>
      </c>
      <c r="F248" s="1251" t="s">
        <v>2031</v>
      </c>
      <c r="G248" s="1252"/>
      <c r="H248" s="1253"/>
      <c r="I248" s="1248"/>
      <c r="J248" s="1253"/>
      <c r="K248" s="1248"/>
    </row>
    <row r="249" spans="1:11" s="1234" customFormat="1" ht="25.5" hidden="1">
      <c r="A249" s="1248" t="s">
        <v>2107</v>
      </c>
      <c r="B249" s="1252" t="s">
        <v>2367</v>
      </c>
      <c r="C249" s="1250">
        <v>142</v>
      </c>
      <c r="D249" s="1248" t="s">
        <v>570</v>
      </c>
      <c r="E249" s="1250">
        <v>22.32</v>
      </c>
      <c r="F249" s="1251" t="s">
        <v>2031</v>
      </c>
      <c r="G249" s="1252"/>
      <c r="H249" s="1253"/>
      <c r="I249" s="1248"/>
      <c r="J249" s="1253"/>
      <c r="K249" s="1248"/>
    </row>
    <row r="250" spans="1:11" s="1234" customFormat="1" ht="25.5" hidden="1">
      <c r="A250" s="1248" t="s">
        <v>2108</v>
      </c>
      <c r="B250" s="1252" t="s">
        <v>2368</v>
      </c>
      <c r="C250" s="1250">
        <v>80</v>
      </c>
      <c r="D250" s="1248" t="s">
        <v>2032</v>
      </c>
      <c r="E250" s="1250">
        <v>6.4</v>
      </c>
      <c r="F250" s="1251" t="s">
        <v>2031</v>
      </c>
      <c r="G250" s="1252"/>
      <c r="H250" s="1253"/>
      <c r="I250" s="1248"/>
      <c r="J250" s="1253"/>
      <c r="K250" s="1248"/>
    </row>
    <row r="251" spans="1:11" s="1234" customFormat="1" ht="25.5" hidden="1">
      <c r="A251" s="1248" t="s">
        <v>2109</v>
      </c>
      <c r="B251" s="1252" t="s">
        <v>2369</v>
      </c>
      <c r="C251" s="1250">
        <v>30</v>
      </c>
      <c r="D251" s="1248" t="s">
        <v>2032</v>
      </c>
      <c r="E251" s="1250">
        <v>2.4</v>
      </c>
      <c r="F251" s="1251" t="s">
        <v>2031</v>
      </c>
      <c r="G251" s="1252"/>
      <c r="H251" s="1253"/>
      <c r="I251" s="1248"/>
      <c r="J251" s="1253"/>
      <c r="K251" s="1248"/>
    </row>
    <row r="252" spans="1:11" s="1234" customFormat="1" ht="25.5" hidden="1">
      <c r="A252" s="1248" t="s">
        <v>2110</v>
      </c>
      <c r="B252" s="1252" t="s">
        <v>2370</v>
      </c>
      <c r="C252" s="1250">
        <v>65</v>
      </c>
      <c r="D252" s="1248" t="s">
        <v>2032</v>
      </c>
      <c r="E252" s="1250">
        <v>5.2</v>
      </c>
      <c r="F252" s="1251" t="s">
        <v>2031</v>
      </c>
      <c r="G252" s="1252"/>
      <c r="H252" s="1253"/>
      <c r="I252" s="1248"/>
      <c r="J252" s="1253"/>
      <c r="K252" s="1248"/>
    </row>
    <row r="253" spans="1:11" s="1234" customFormat="1" ht="25.5" hidden="1">
      <c r="A253" s="1248" t="s">
        <v>2111</v>
      </c>
      <c r="B253" s="1252" t="s">
        <v>2371</v>
      </c>
      <c r="C253" s="1250">
        <v>40</v>
      </c>
      <c r="D253" s="1248" t="s">
        <v>570</v>
      </c>
      <c r="E253" s="1250">
        <v>6.29</v>
      </c>
      <c r="F253" s="1251" t="s">
        <v>2031</v>
      </c>
      <c r="G253" s="1252"/>
      <c r="H253" s="1253"/>
      <c r="I253" s="1248"/>
      <c r="J253" s="1253"/>
      <c r="K253" s="1248"/>
    </row>
    <row r="254" spans="1:11" s="1234" customFormat="1" ht="25.5" hidden="1">
      <c r="A254" s="1248" t="s">
        <v>2112</v>
      </c>
      <c r="B254" s="1252" t="s">
        <v>2372</v>
      </c>
      <c r="C254" s="1250">
        <v>80</v>
      </c>
      <c r="D254" s="1248" t="s">
        <v>570</v>
      </c>
      <c r="E254" s="1250">
        <v>12.58</v>
      </c>
      <c r="F254" s="1251" t="s">
        <v>2031</v>
      </c>
      <c r="G254" s="1252"/>
      <c r="H254" s="1253"/>
      <c r="I254" s="1248"/>
      <c r="J254" s="1253"/>
      <c r="K254" s="1248"/>
    </row>
    <row r="255" spans="1:11" s="1234" customFormat="1" hidden="1">
      <c r="A255" s="1248" t="s">
        <v>2113</v>
      </c>
      <c r="B255" s="1252" t="s">
        <v>2373</v>
      </c>
      <c r="C255" s="1250">
        <v>30</v>
      </c>
      <c r="D255" s="1248" t="s">
        <v>2032</v>
      </c>
      <c r="E255" s="1250">
        <v>2.4</v>
      </c>
      <c r="F255" s="1251" t="s">
        <v>2031</v>
      </c>
      <c r="G255" s="1252"/>
      <c r="H255" s="1253"/>
      <c r="I255" s="1248"/>
      <c r="J255" s="1253"/>
      <c r="K255" s="1248"/>
    </row>
    <row r="256" spans="1:11" s="1234" customFormat="1" ht="25.5" hidden="1">
      <c r="A256" s="1248" t="s">
        <v>2114</v>
      </c>
      <c r="B256" s="1252" t="s">
        <v>2374</v>
      </c>
      <c r="C256" s="1250">
        <v>30</v>
      </c>
      <c r="D256" s="1248" t="s">
        <v>2032</v>
      </c>
      <c r="E256" s="1250">
        <v>2.4</v>
      </c>
      <c r="F256" s="1251" t="s">
        <v>2031</v>
      </c>
      <c r="G256" s="1252"/>
      <c r="H256" s="1253"/>
      <c r="I256" s="1248"/>
      <c r="J256" s="1253"/>
      <c r="K256" s="1248"/>
    </row>
    <row r="257" spans="1:11" s="1234" customFormat="1" ht="25.5" hidden="1">
      <c r="A257" s="1248" t="s">
        <v>2115</v>
      </c>
      <c r="B257" s="1252" t="s">
        <v>2375</v>
      </c>
      <c r="C257" s="1250">
        <v>85</v>
      </c>
      <c r="D257" s="1248" t="s">
        <v>207</v>
      </c>
      <c r="E257" s="1250">
        <v>8.5</v>
      </c>
      <c r="F257" s="1251" t="s">
        <v>2031</v>
      </c>
      <c r="G257" s="1252"/>
      <c r="H257" s="1253"/>
      <c r="I257" s="1248"/>
      <c r="J257" s="1253"/>
      <c r="K257" s="1248"/>
    </row>
    <row r="258" spans="1:11" s="1234" customFormat="1" hidden="1">
      <c r="A258" s="1248" t="s">
        <v>2116</v>
      </c>
      <c r="B258" s="1252" t="s">
        <v>2376</v>
      </c>
      <c r="C258" s="1250">
        <v>22</v>
      </c>
      <c r="D258" s="1248" t="s">
        <v>2032</v>
      </c>
      <c r="E258" s="1250">
        <v>1.76</v>
      </c>
      <c r="F258" s="1251" t="s">
        <v>2031</v>
      </c>
      <c r="G258" s="1252"/>
      <c r="H258" s="1253"/>
      <c r="I258" s="1248"/>
      <c r="J258" s="1253"/>
      <c r="K258" s="1248"/>
    </row>
    <row r="259" spans="1:11" s="1234" customFormat="1" ht="25.5" hidden="1">
      <c r="A259" s="1248" t="s">
        <v>2117</v>
      </c>
      <c r="B259" s="1252" t="s">
        <v>2377</v>
      </c>
      <c r="C259" s="1250">
        <v>60</v>
      </c>
      <c r="D259" s="1248" t="s">
        <v>2032</v>
      </c>
      <c r="E259" s="1250">
        <v>4.8</v>
      </c>
      <c r="F259" s="1251" t="s">
        <v>2031</v>
      </c>
      <c r="G259" s="1252"/>
      <c r="H259" s="1253"/>
      <c r="I259" s="1248"/>
      <c r="J259" s="1253"/>
      <c r="K259" s="1248"/>
    </row>
    <row r="260" spans="1:11" s="1234" customFormat="1" ht="25.5" hidden="1">
      <c r="A260" s="1248" t="s">
        <v>2118</v>
      </c>
      <c r="B260" s="1252" t="s">
        <v>2378</v>
      </c>
      <c r="C260" s="1250">
        <v>20</v>
      </c>
      <c r="D260" s="1248" t="s">
        <v>2032</v>
      </c>
      <c r="E260" s="1250">
        <v>1.6</v>
      </c>
      <c r="F260" s="1251" t="s">
        <v>2031</v>
      </c>
      <c r="G260" s="1252"/>
      <c r="H260" s="1253"/>
      <c r="I260" s="1248"/>
      <c r="J260" s="1253"/>
      <c r="K260" s="1248"/>
    </row>
    <row r="261" spans="1:11" s="1234" customFormat="1" ht="25.5" hidden="1">
      <c r="A261" s="1248" t="s">
        <v>2119</v>
      </c>
      <c r="B261" s="1252" t="s">
        <v>2379</v>
      </c>
      <c r="C261" s="1250">
        <v>46</v>
      </c>
      <c r="D261" s="1248" t="s">
        <v>207</v>
      </c>
      <c r="E261" s="1250">
        <v>4.5999999999999996</v>
      </c>
      <c r="F261" s="1251" t="s">
        <v>2031</v>
      </c>
      <c r="G261" s="1252"/>
      <c r="H261" s="1253"/>
      <c r="I261" s="1248"/>
      <c r="J261" s="1253"/>
      <c r="K261" s="1248"/>
    </row>
    <row r="262" spans="1:11" s="1234" customFormat="1" ht="25.5" hidden="1">
      <c r="A262" s="1248" t="s">
        <v>2120</v>
      </c>
      <c r="B262" s="1252" t="s">
        <v>2380</v>
      </c>
      <c r="C262" s="1250">
        <v>50</v>
      </c>
      <c r="D262" s="1248" t="s">
        <v>207</v>
      </c>
      <c r="E262" s="1250">
        <v>5</v>
      </c>
      <c r="F262" s="1251" t="s">
        <v>2031</v>
      </c>
      <c r="G262" s="1252"/>
      <c r="H262" s="1253"/>
      <c r="I262" s="1248"/>
      <c r="J262" s="1253"/>
      <c r="K262" s="1248"/>
    </row>
    <row r="263" spans="1:11" s="1234" customFormat="1" ht="25.5" hidden="1">
      <c r="A263" s="1248" t="s">
        <v>2817</v>
      </c>
      <c r="B263" s="1252" t="s">
        <v>2381</v>
      </c>
      <c r="C263" s="1250">
        <v>80</v>
      </c>
      <c r="D263" s="1248" t="s">
        <v>570</v>
      </c>
      <c r="E263" s="1250">
        <v>12.58</v>
      </c>
      <c r="F263" s="1251" t="s">
        <v>2031</v>
      </c>
      <c r="G263" s="1252"/>
      <c r="H263" s="1253"/>
      <c r="I263" s="1248"/>
      <c r="J263" s="1253"/>
      <c r="K263" s="1248"/>
    </row>
    <row r="264" spans="1:11" s="1234" customFormat="1" ht="25.5" hidden="1">
      <c r="A264" s="1248" t="s">
        <v>2818</v>
      </c>
      <c r="B264" s="1252" t="s">
        <v>2382</v>
      </c>
      <c r="C264" s="1250">
        <v>35</v>
      </c>
      <c r="D264" s="1248" t="s">
        <v>570</v>
      </c>
      <c r="E264" s="1250">
        <v>5.5</v>
      </c>
      <c r="F264" s="1251" t="s">
        <v>2031</v>
      </c>
      <c r="G264" s="1252"/>
      <c r="H264" s="1253"/>
      <c r="I264" s="1248"/>
      <c r="J264" s="1253"/>
      <c r="K264" s="1248"/>
    </row>
    <row r="265" spans="1:11" s="1234" customFormat="1" ht="25.5" hidden="1">
      <c r="A265" s="1248" t="s">
        <v>2819</v>
      </c>
      <c r="B265" s="1252" t="s">
        <v>2383</v>
      </c>
      <c r="C265" s="1250">
        <v>60</v>
      </c>
      <c r="D265" s="1248" t="s">
        <v>570</v>
      </c>
      <c r="E265" s="1250">
        <v>9.43</v>
      </c>
      <c r="F265" s="1251" t="s">
        <v>2031</v>
      </c>
      <c r="G265" s="1252"/>
      <c r="H265" s="1253"/>
      <c r="I265" s="1248"/>
      <c r="J265" s="1253"/>
      <c r="K265" s="1248"/>
    </row>
    <row r="266" spans="1:11" s="1234" customFormat="1" ht="25.5" hidden="1">
      <c r="A266" s="1248" t="s">
        <v>2820</v>
      </c>
      <c r="B266" s="1252" t="s">
        <v>2384</v>
      </c>
      <c r="C266" s="1250">
        <v>40</v>
      </c>
      <c r="D266" s="1248" t="s">
        <v>2032</v>
      </c>
      <c r="E266" s="1250">
        <v>3.2</v>
      </c>
      <c r="F266" s="1251" t="s">
        <v>2031</v>
      </c>
      <c r="G266" s="1252"/>
      <c r="H266" s="1253"/>
      <c r="I266" s="1248"/>
      <c r="J266" s="1253"/>
      <c r="K266" s="1248"/>
    </row>
    <row r="267" spans="1:11" s="1234" customFormat="1" ht="25.5" hidden="1">
      <c r="A267" s="1248" t="s">
        <v>2821</v>
      </c>
      <c r="B267" s="1252" t="s">
        <v>2385</v>
      </c>
      <c r="C267" s="1250">
        <v>50</v>
      </c>
      <c r="D267" s="1248" t="s">
        <v>207</v>
      </c>
      <c r="E267" s="1250">
        <v>5</v>
      </c>
      <c r="F267" s="1251" t="s">
        <v>2031</v>
      </c>
      <c r="G267" s="1252"/>
      <c r="H267" s="1253"/>
      <c r="I267" s="1248"/>
      <c r="J267" s="1253"/>
      <c r="K267" s="1248"/>
    </row>
    <row r="268" spans="1:11" s="1234" customFormat="1" ht="25.5" hidden="1">
      <c r="A268" s="1248" t="s">
        <v>2822</v>
      </c>
      <c r="B268" s="1252" t="s">
        <v>2386</v>
      </c>
      <c r="C268" s="1250">
        <v>165</v>
      </c>
      <c r="D268" s="1248" t="s">
        <v>570</v>
      </c>
      <c r="E268" s="1250">
        <v>25.94</v>
      </c>
      <c r="F268" s="1251" t="s">
        <v>2031</v>
      </c>
      <c r="G268" s="1252"/>
      <c r="H268" s="1253"/>
      <c r="I268" s="1248"/>
      <c r="J268" s="1253"/>
      <c r="K268" s="1248"/>
    </row>
    <row r="269" spans="1:11" s="1234" customFormat="1" ht="25.5" hidden="1">
      <c r="A269" s="1248" t="s">
        <v>2823</v>
      </c>
      <c r="B269" s="1252" t="s">
        <v>2387</v>
      </c>
      <c r="C269" s="1250">
        <v>105</v>
      </c>
      <c r="D269" s="1248" t="s">
        <v>570</v>
      </c>
      <c r="E269" s="1250">
        <v>16.510000000000002</v>
      </c>
      <c r="F269" s="1251" t="s">
        <v>2031</v>
      </c>
      <c r="G269" s="1252"/>
      <c r="H269" s="1253"/>
      <c r="I269" s="1248"/>
      <c r="J269" s="1253"/>
      <c r="K269" s="1248"/>
    </row>
    <row r="270" spans="1:11" s="1234" customFormat="1" ht="25.5" hidden="1">
      <c r="A270" s="1248" t="s">
        <v>2824</v>
      </c>
      <c r="B270" s="1252" t="s">
        <v>2388</v>
      </c>
      <c r="C270" s="1250">
        <v>180</v>
      </c>
      <c r="D270" s="1248" t="s">
        <v>2032</v>
      </c>
      <c r="E270" s="1250">
        <v>14.4</v>
      </c>
      <c r="F270" s="1251" t="s">
        <v>2031</v>
      </c>
      <c r="G270" s="1252"/>
      <c r="H270" s="1253"/>
      <c r="I270" s="1248"/>
      <c r="J270" s="1253"/>
      <c r="K270" s="1248"/>
    </row>
    <row r="271" spans="1:11" s="1234" customFormat="1" ht="25.5" hidden="1">
      <c r="A271" s="1248" t="s">
        <v>2825</v>
      </c>
      <c r="B271" s="1252" t="s">
        <v>2389</v>
      </c>
      <c r="C271" s="1250">
        <v>60</v>
      </c>
      <c r="D271" s="1248" t="s">
        <v>2032</v>
      </c>
      <c r="E271" s="1250">
        <v>4.8</v>
      </c>
      <c r="F271" s="1251" t="s">
        <v>2031</v>
      </c>
      <c r="G271" s="1252"/>
      <c r="H271" s="1253"/>
      <c r="I271" s="1248"/>
      <c r="J271" s="1253"/>
      <c r="K271" s="1248"/>
    </row>
    <row r="272" spans="1:11" s="1234" customFormat="1" hidden="1">
      <c r="A272" s="1248" t="s">
        <v>2826</v>
      </c>
      <c r="B272" s="1252" t="s">
        <v>2390</v>
      </c>
      <c r="C272" s="1250">
        <v>20</v>
      </c>
      <c r="D272" s="1248" t="s">
        <v>570</v>
      </c>
      <c r="E272" s="1250">
        <v>3.14</v>
      </c>
      <c r="F272" s="1251" t="s">
        <v>2031</v>
      </c>
      <c r="G272" s="1252"/>
      <c r="H272" s="1253"/>
      <c r="I272" s="1248"/>
      <c r="J272" s="1253"/>
      <c r="K272" s="1248"/>
    </row>
    <row r="273" spans="1:11" s="1247" customFormat="1" hidden="1">
      <c r="A273" s="1241">
        <v>95</v>
      </c>
      <c r="B273" s="1245" t="s">
        <v>2045</v>
      </c>
      <c r="C273" s="1254">
        <f>SUM(C274:C285)</f>
        <v>1491</v>
      </c>
      <c r="D273" s="1241"/>
      <c r="E273" s="1254">
        <f>SUM(E274:E285)</f>
        <v>138.94999999999999</v>
      </c>
      <c r="F273" s="1244"/>
      <c r="G273" s="1245"/>
      <c r="H273" s="1246"/>
      <c r="I273" s="1241"/>
      <c r="J273" s="1246"/>
      <c r="K273" s="1241"/>
    </row>
    <row r="274" spans="1:11" s="1234" customFormat="1" hidden="1">
      <c r="A274" s="1248" t="s">
        <v>2121</v>
      </c>
      <c r="B274" s="1252" t="s">
        <v>2391</v>
      </c>
      <c r="C274" s="1250">
        <v>50</v>
      </c>
      <c r="D274" s="1248" t="s">
        <v>207</v>
      </c>
      <c r="E274" s="1250">
        <v>5</v>
      </c>
      <c r="F274" s="1251" t="s">
        <v>2031</v>
      </c>
      <c r="G274" s="1252"/>
      <c r="H274" s="1253"/>
      <c r="I274" s="1248"/>
      <c r="J274" s="1253"/>
      <c r="K274" s="1248"/>
    </row>
    <row r="275" spans="1:11" s="1234" customFormat="1" hidden="1">
      <c r="A275" s="1248" t="s">
        <v>2122</v>
      </c>
      <c r="B275" s="1252" t="s">
        <v>2392</v>
      </c>
      <c r="C275" s="1250">
        <v>82</v>
      </c>
      <c r="D275" s="1248" t="s">
        <v>207</v>
      </c>
      <c r="E275" s="1250">
        <v>8.1999999999999993</v>
      </c>
      <c r="F275" s="1251" t="s">
        <v>2031</v>
      </c>
      <c r="G275" s="1252"/>
      <c r="H275" s="1253"/>
      <c r="I275" s="1248"/>
      <c r="J275" s="1253"/>
      <c r="K275" s="1248"/>
    </row>
    <row r="276" spans="1:11" s="1234" customFormat="1" hidden="1">
      <c r="A276" s="1248" t="s">
        <v>2123</v>
      </c>
      <c r="B276" s="1252" t="s">
        <v>2393</v>
      </c>
      <c r="C276" s="1250">
        <v>260</v>
      </c>
      <c r="D276" s="1248" t="s">
        <v>2032</v>
      </c>
      <c r="E276" s="1250">
        <v>20.8</v>
      </c>
      <c r="F276" s="1251" t="s">
        <v>2031</v>
      </c>
      <c r="G276" s="1252"/>
      <c r="H276" s="1253"/>
      <c r="I276" s="1248"/>
      <c r="J276" s="1253"/>
      <c r="K276" s="1248"/>
    </row>
    <row r="277" spans="1:11" s="1234" customFormat="1" hidden="1">
      <c r="A277" s="1248" t="s">
        <v>2124</v>
      </c>
      <c r="B277" s="1252" t="s">
        <v>2394</v>
      </c>
      <c r="C277" s="1250">
        <v>210</v>
      </c>
      <c r="D277" s="1248" t="s">
        <v>2032</v>
      </c>
      <c r="E277" s="1250">
        <v>16.8</v>
      </c>
      <c r="F277" s="1251" t="s">
        <v>2031</v>
      </c>
      <c r="G277" s="1252"/>
      <c r="H277" s="1253"/>
      <c r="I277" s="1248"/>
      <c r="J277" s="1253"/>
      <c r="K277" s="1248"/>
    </row>
    <row r="278" spans="1:11" s="1234" customFormat="1" hidden="1">
      <c r="A278" s="1248" t="s">
        <v>2125</v>
      </c>
      <c r="B278" s="1252" t="s">
        <v>2395</v>
      </c>
      <c r="C278" s="1250">
        <v>52</v>
      </c>
      <c r="D278" s="1248" t="s">
        <v>2032</v>
      </c>
      <c r="E278" s="1250">
        <v>4.16</v>
      </c>
      <c r="F278" s="1251" t="s">
        <v>2031</v>
      </c>
      <c r="G278" s="1252"/>
      <c r="H278" s="1253"/>
      <c r="I278" s="1248"/>
      <c r="J278" s="1253"/>
      <c r="K278" s="1248"/>
    </row>
    <row r="279" spans="1:11" s="1234" customFormat="1" hidden="1">
      <c r="A279" s="1248" t="s">
        <v>2126</v>
      </c>
      <c r="B279" s="1252" t="s">
        <v>2396</v>
      </c>
      <c r="C279" s="1250">
        <v>170</v>
      </c>
      <c r="D279" s="1248" t="s">
        <v>207</v>
      </c>
      <c r="E279" s="1250">
        <v>17</v>
      </c>
      <c r="F279" s="1251" t="s">
        <v>2031</v>
      </c>
      <c r="G279" s="1252"/>
      <c r="H279" s="1253"/>
      <c r="I279" s="1248"/>
      <c r="J279" s="1253"/>
      <c r="K279" s="1248"/>
    </row>
    <row r="280" spans="1:11" s="1234" customFormat="1" hidden="1">
      <c r="A280" s="1248" t="s">
        <v>2827</v>
      </c>
      <c r="B280" s="1252" t="s">
        <v>2397</v>
      </c>
      <c r="C280" s="1250">
        <v>158</v>
      </c>
      <c r="D280" s="1248" t="s">
        <v>2032</v>
      </c>
      <c r="E280" s="1250">
        <v>12.64</v>
      </c>
      <c r="F280" s="1251" t="s">
        <v>2031</v>
      </c>
      <c r="G280" s="1252"/>
      <c r="H280" s="1253"/>
      <c r="I280" s="1248"/>
      <c r="J280" s="1253"/>
      <c r="K280" s="1248"/>
    </row>
    <row r="281" spans="1:11" s="1234" customFormat="1" hidden="1">
      <c r="A281" s="1248" t="s">
        <v>2828</v>
      </c>
      <c r="B281" s="1252" t="s">
        <v>2398</v>
      </c>
      <c r="C281" s="1250">
        <v>75</v>
      </c>
      <c r="D281" s="1248" t="s">
        <v>570</v>
      </c>
      <c r="E281" s="1250">
        <v>11.79</v>
      </c>
      <c r="F281" s="1251" t="s">
        <v>2031</v>
      </c>
      <c r="G281" s="1252"/>
      <c r="H281" s="1253"/>
      <c r="I281" s="1248"/>
      <c r="J281" s="1253"/>
      <c r="K281" s="1248"/>
    </row>
    <row r="282" spans="1:11" s="1234" customFormat="1" hidden="1">
      <c r="A282" s="1248" t="s">
        <v>2829</v>
      </c>
      <c r="B282" s="1252" t="s">
        <v>2399</v>
      </c>
      <c r="C282" s="1250">
        <v>155</v>
      </c>
      <c r="D282" s="1248" t="s">
        <v>207</v>
      </c>
      <c r="E282" s="1250">
        <v>15.5</v>
      </c>
      <c r="F282" s="1251" t="s">
        <v>2031</v>
      </c>
      <c r="G282" s="1252"/>
      <c r="H282" s="1253"/>
      <c r="I282" s="1248"/>
      <c r="J282" s="1253"/>
      <c r="K282" s="1248"/>
    </row>
    <row r="283" spans="1:11" s="1234" customFormat="1" hidden="1">
      <c r="A283" s="1248" t="s">
        <v>2830</v>
      </c>
      <c r="B283" s="1252" t="s">
        <v>2400</v>
      </c>
      <c r="C283" s="1250">
        <v>92</v>
      </c>
      <c r="D283" s="1248" t="s">
        <v>207</v>
      </c>
      <c r="E283" s="1250">
        <v>9.1999999999999993</v>
      </c>
      <c r="F283" s="1251" t="s">
        <v>2031</v>
      </c>
      <c r="G283" s="1252"/>
      <c r="H283" s="1253"/>
      <c r="I283" s="1248"/>
      <c r="J283" s="1253"/>
      <c r="K283" s="1248"/>
    </row>
    <row r="284" spans="1:11" s="1234" customFormat="1" hidden="1">
      <c r="A284" s="1248" t="s">
        <v>2831</v>
      </c>
      <c r="B284" s="1252" t="s">
        <v>2401</v>
      </c>
      <c r="C284" s="1250">
        <v>145</v>
      </c>
      <c r="D284" s="1248" t="s">
        <v>207</v>
      </c>
      <c r="E284" s="1250">
        <v>14.5</v>
      </c>
      <c r="F284" s="1251" t="s">
        <v>2031</v>
      </c>
      <c r="G284" s="1252"/>
      <c r="H284" s="1253"/>
      <c r="I284" s="1248"/>
      <c r="J284" s="1253"/>
      <c r="K284" s="1248"/>
    </row>
    <row r="285" spans="1:11" s="1234" customFormat="1" hidden="1">
      <c r="A285" s="1248" t="s">
        <v>2832</v>
      </c>
      <c r="B285" s="1252" t="s">
        <v>2402</v>
      </c>
      <c r="C285" s="1250">
        <v>42</v>
      </c>
      <c r="D285" s="1248" t="s">
        <v>2032</v>
      </c>
      <c r="E285" s="1250">
        <v>3.36</v>
      </c>
      <c r="F285" s="1251" t="s">
        <v>2031</v>
      </c>
      <c r="G285" s="1252"/>
      <c r="H285" s="1253"/>
      <c r="I285" s="1248"/>
      <c r="J285" s="1253"/>
      <c r="K285" s="1248"/>
    </row>
    <row r="286" spans="1:11" s="1247" customFormat="1" hidden="1">
      <c r="A286" s="1241">
        <v>104</v>
      </c>
      <c r="B286" s="1245" t="s">
        <v>2046</v>
      </c>
      <c r="C286" s="1254">
        <f>SUM(C287)</f>
        <v>0</v>
      </c>
      <c r="D286" s="1241"/>
      <c r="E286" s="1254">
        <f>SUM(E287)</f>
        <v>0</v>
      </c>
      <c r="F286" s="1244"/>
      <c r="G286" s="1245"/>
      <c r="H286" s="1246"/>
      <c r="I286" s="1241"/>
      <c r="J286" s="1246"/>
      <c r="K286" s="1241"/>
    </row>
    <row r="287" spans="1:11" s="1234" customFormat="1" hidden="1">
      <c r="A287" s="1248"/>
      <c r="B287" s="1252"/>
      <c r="C287" s="1250"/>
      <c r="D287" s="1248"/>
      <c r="E287" s="1250"/>
      <c r="F287" s="1251"/>
      <c r="G287" s="1252"/>
      <c r="H287" s="1253"/>
      <c r="I287" s="1248"/>
      <c r="J287" s="1253"/>
      <c r="K287" s="1248"/>
    </row>
    <row r="288" spans="1:11" s="1247" customFormat="1" hidden="1">
      <c r="A288" s="1241">
        <v>96</v>
      </c>
      <c r="B288" s="1245" t="s">
        <v>2047</v>
      </c>
      <c r="C288" s="1254">
        <f>SUM(C289:C289)</f>
        <v>152.69999999999999</v>
      </c>
      <c r="D288" s="1241"/>
      <c r="E288" s="1254">
        <f>SUM(E289:E289)</f>
        <v>24</v>
      </c>
      <c r="F288" s="1244"/>
      <c r="G288" s="1245"/>
      <c r="H288" s="1246"/>
      <c r="I288" s="1241"/>
      <c r="J288" s="1246"/>
      <c r="K288" s="1241"/>
    </row>
    <row r="289" spans="1:11" s="1234" customFormat="1" hidden="1">
      <c r="A289" s="1248" t="s">
        <v>2127</v>
      </c>
      <c r="B289" s="1252" t="s">
        <v>2403</v>
      </c>
      <c r="C289" s="1250">
        <v>152.69999999999999</v>
      </c>
      <c r="D289" s="1248" t="s">
        <v>570</v>
      </c>
      <c r="E289" s="1250">
        <v>24</v>
      </c>
      <c r="F289" s="1251" t="s">
        <v>2031</v>
      </c>
      <c r="G289" s="1252"/>
      <c r="H289" s="1253"/>
      <c r="I289" s="1248"/>
      <c r="J289" s="1253"/>
      <c r="K289" s="1248"/>
    </row>
    <row r="290" spans="1:11" s="1247" customFormat="1" hidden="1">
      <c r="A290" s="1241">
        <v>97</v>
      </c>
      <c r="B290" s="1245" t="s">
        <v>2404</v>
      </c>
      <c r="C290" s="1254">
        <f>+SUM(C291:C292)</f>
        <v>328.40999999999997</v>
      </c>
      <c r="D290" s="1241"/>
      <c r="E290" s="1254">
        <f>+SUM(E291:E292)</f>
        <v>43.906051999999995</v>
      </c>
      <c r="F290" s="1244"/>
      <c r="G290" s="1245"/>
      <c r="H290" s="1246"/>
      <c r="I290" s="1241"/>
      <c r="J290" s="1246"/>
      <c r="K290" s="1241"/>
    </row>
    <row r="291" spans="1:11" s="1234" customFormat="1" hidden="1">
      <c r="A291" s="1248" t="s">
        <v>2128</v>
      </c>
      <c r="B291" s="1252" t="s">
        <v>2405</v>
      </c>
      <c r="C291" s="1250">
        <v>228.41</v>
      </c>
      <c r="D291" s="1248" t="s">
        <v>570</v>
      </c>
      <c r="E291" s="1250">
        <v>35.906051999999995</v>
      </c>
      <c r="F291" s="1251" t="s">
        <v>2031</v>
      </c>
      <c r="G291" s="1252"/>
      <c r="H291" s="1253"/>
      <c r="I291" s="1248"/>
      <c r="J291" s="1253"/>
      <c r="K291" s="1248"/>
    </row>
    <row r="292" spans="1:11" s="1234" customFormat="1" ht="25.5" hidden="1">
      <c r="A292" s="1248" t="s">
        <v>2129</v>
      </c>
      <c r="B292" s="1252" t="s">
        <v>2406</v>
      </c>
      <c r="C292" s="1250">
        <v>100</v>
      </c>
      <c r="D292" s="1248" t="s">
        <v>2032</v>
      </c>
      <c r="E292" s="1250">
        <v>8</v>
      </c>
      <c r="F292" s="1251" t="s">
        <v>2031</v>
      </c>
      <c r="G292" s="1252"/>
      <c r="H292" s="1253"/>
      <c r="I292" s="1248"/>
      <c r="J292" s="1253"/>
      <c r="K292" s="1248"/>
    </row>
    <row r="293" spans="1:11" s="1247" customFormat="1">
      <c r="A293" s="1255"/>
      <c r="B293" s="1245" t="s">
        <v>2022</v>
      </c>
      <c r="C293" s="1254">
        <f>+C294+C309+C328+C371+C481+C497</f>
        <v>28870</v>
      </c>
      <c r="D293" s="1242"/>
      <c r="E293" s="1254">
        <f>+E294+E309+E328+E371+E481+E497</f>
        <v>2874.3</v>
      </c>
      <c r="F293" s="1251" t="s">
        <v>2031</v>
      </c>
      <c r="G293" s="1245"/>
      <c r="H293" s="1254">
        <f>+H294+H309+H328+H371+H481+H497</f>
        <v>28856</v>
      </c>
      <c r="I293" s="1241"/>
      <c r="J293" s="1254">
        <f>+J294+J309+J328+J371+J481+J497</f>
        <v>2874.2999999999997</v>
      </c>
      <c r="K293" s="1241"/>
    </row>
    <row r="294" spans="1:11" s="1247" customFormat="1">
      <c r="A294" s="1241" t="s">
        <v>189</v>
      </c>
      <c r="B294" s="1243" t="s">
        <v>2024</v>
      </c>
      <c r="C294" s="1254">
        <f>SUM(C295:C308)</f>
        <v>1323</v>
      </c>
      <c r="D294" s="1242"/>
      <c r="E294" s="1254">
        <f>SUM(E295:E308)</f>
        <v>129.29999999999998</v>
      </c>
      <c r="F294" s="1244"/>
      <c r="G294" s="1245"/>
      <c r="H294" s="1254">
        <f>SUM(H295:H308)</f>
        <v>1323</v>
      </c>
      <c r="I294" s="1242"/>
      <c r="J294" s="1254">
        <f>SUM(J295:J308)</f>
        <v>129.30000000000001</v>
      </c>
      <c r="K294" s="1241"/>
    </row>
    <row r="295" spans="1:11" s="1234" customFormat="1" ht="25.5">
      <c r="A295" s="1248">
        <v>1</v>
      </c>
      <c r="B295" s="1252" t="s">
        <v>2407</v>
      </c>
      <c r="C295" s="1250">
        <v>180</v>
      </c>
      <c r="D295" s="1248" t="s">
        <v>570</v>
      </c>
      <c r="E295" s="1250">
        <v>28.3</v>
      </c>
      <c r="F295" s="1251" t="s">
        <v>2031</v>
      </c>
      <c r="G295" s="1252"/>
      <c r="H295" s="1253"/>
      <c r="I295" s="1248"/>
      <c r="J295" s="1253"/>
      <c r="K295" s="1248" t="s">
        <v>2838</v>
      </c>
    </row>
    <row r="296" spans="1:11" s="1234" customFormat="1" ht="25.5">
      <c r="A296" s="1248">
        <v>2</v>
      </c>
      <c r="B296" s="1252" t="s">
        <v>2408</v>
      </c>
      <c r="C296" s="1250">
        <v>70</v>
      </c>
      <c r="D296" s="1248" t="s">
        <v>207</v>
      </c>
      <c r="E296" s="1250">
        <v>7</v>
      </c>
      <c r="F296" s="1251" t="s">
        <v>2031</v>
      </c>
      <c r="G296" s="1252" t="s">
        <v>2408</v>
      </c>
      <c r="H296" s="1253">
        <v>70</v>
      </c>
      <c r="I296" s="1248" t="s">
        <v>207</v>
      </c>
      <c r="J296" s="1253">
        <v>7</v>
      </c>
      <c r="K296" s="1248" t="s">
        <v>2837</v>
      </c>
    </row>
    <row r="297" spans="1:11" s="1234" customFormat="1" ht="25.5">
      <c r="A297" s="1248">
        <v>3</v>
      </c>
      <c r="B297" s="1252" t="s">
        <v>2409</v>
      </c>
      <c r="C297" s="1250">
        <v>200</v>
      </c>
      <c r="D297" s="1248" t="s">
        <v>207</v>
      </c>
      <c r="E297" s="1250">
        <v>20</v>
      </c>
      <c r="F297" s="1251" t="s">
        <v>2031</v>
      </c>
      <c r="G297" s="1252"/>
      <c r="H297" s="1253"/>
      <c r="I297" s="1248"/>
      <c r="J297" s="1253"/>
      <c r="K297" s="1248" t="s">
        <v>2838</v>
      </c>
    </row>
    <row r="298" spans="1:11" s="1234" customFormat="1" ht="25.5">
      <c r="A298" s="1248">
        <v>4</v>
      </c>
      <c r="B298" s="1252" t="s">
        <v>2410</v>
      </c>
      <c r="C298" s="1250">
        <v>58</v>
      </c>
      <c r="D298" s="1248" t="s">
        <v>207</v>
      </c>
      <c r="E298" s="1250">
        <v>5.8</v>
      </c>
      <c r="F298" s="1251" t="s">
        <v>2031</v>
      </c>
      <c r="G298" s="1252" t="s">
        <v>2410</v>
      </c>
      <c r="H298" s="1253">
        <v>58</v>
      </c>
      <c r="I298" s="1248" t="s">
        <v>207</v>
      </c>
      <c r="J298" s="1253">
        <v>5.8</v>
      </c>
      <c r="K298" s="1248" t="s">
        <v>2837</v>
      </c>
    </row>
    <row r="299" spans="1:11" s="1234" customFormat="1" ht="25.5">
      <c r="A299" s="1248">
        <v>5</v>
      </c>
      <c r="B299" s="1252" t="s">
        <v>2411</v>
      </c>
      <c r="C299" s="1250">
        <v>60</v>
      </c>
      <c r="D299" s="1248" t="s">
        <v>2032</v>
      </c>
      <c r="E299" s="1250">
        <v>4.8</v>
      </c>
      <c r="F299" s="1251" t="s">
        <v>2031</v>
      </c>
      <c r="G299" s="1252" t="s">
        <v>2411</v>
      </c>
      <c r="H299" s="1253">
        <v>60</v>
      </c>
      <c r="I299" s="1248" t="s">
        <v>2032</v>
      </c>
      <c r="J299" s="1253">
        <v>4.8</v>
      </c>
      <c r="K299" s="1248" t="s">
        <v>2837</v>
      </c>
    </row>
    <row r="300" spans="1:11" s="1234" customFormat="1" ht="38.25">
      <c r="A300" s="1248">
        <v>6</v>
      </c>
      <c r="B300" s="1252" t="s">
        <v>2412</v>
      </c>
      <c r="C300" s="1250">
        <v>290</v>
      </c>
      <c r="D300" s="1248" t="s">
        <v>2032</v>
      </c>
      <c r="E300" s="1250">
        <v>23.2</v>
      </c>
      <c r="F300" s="1251" t="s">
        <v>2031</v>
      </c>
      <c r="G300" s="1252" t="s">
        <v>2412</v>
      </c>
      <c r="H300" s="1253">
        <v>90</v>
      </c>
      <c r="I300" s="1248" t="s">
        <v>2032</v>
      </c>
      <c r="J300" s="1253">
        <v>7.2</v>
      </c>
      <c r="K300" s="1248" t="s">
        <v>2839</v>
      </c>
    </row>
    <row r="301" spans="1:11" s="1234" customFormat="1" ht="25.5">
      <c r="A301" s="1248">
        <v>7</v>
      </c>
      <c r="B301" s="1252" t="s">
        <v>2413</v>
      </c>
      <c r="C301" s="1250">
        <v>150</v>
      </c>
      <c r="D301" s="1248" t="s">
        <v>207</v>
      </c>
      <c r="E301" s="1250">
        <v>15</v>
      </c>
      <c r="F301" s="1251" t="s">
        <v>2031</v>
      </c>
      <c r="G301" s="1252" t="s">
        <v>2413</v>
      </c>
      <c r="H301" s="1250">
        <v>90</v>
      </c>
      <c r="I301" s="1248" t="s">
        <v>207</v>
      </c>
      <c r="J301" s="1250">
        <v>9</v>
      </c>
      <c r="K301" s="1248" t="s">
        <v>2839</v>
      </c>
    </row>
    <row r="302" spans="1:11" s="1234" customFormat="1" ht="25.5">
      <c r="A302" s="1248">
        <v>8</v>
      </c>
      <c r="B302" s="1252" t="s">
        <v>2414</v>
      </c>
      <c r="C302" s="1250">
        <v>75</v>
      </c>
      <c r="D302" s="1248" t="s">
        <v>2032</v>
      </c>
      <c r="E302" s="1250">
        <v>6</v>
      </c>
      <c r="F302" s="1251" t="s">
        <v>2031</v>
      </c>
      <c r="G302" s="1252" t="s">
        <v>2414</v>
      </c>
      <c r="H302" s="1253">
        <v>75</v>
      </c>
      <c r="I302" s="1248" t="s">
        <v>2032</v>
      </c>
      <c r="J302" s="1253">
        <v>6</v>
      </c>
      <c r="K302" s="1248" t="s">
        <v>2837</v>
      </c>
    </row>
    <row r="303" spans="1:11" s="1234" customFormat="1" ht="25.5">
      <c r="A303" s="1248">
        <v>9</v>
      </c>
      <c r="B303" s="1252" t="s">
        <v>2415</v>
      </c>
      <c r="C303" s="1250">
        <v>240</v>
      </c>
      <c r="D303" s="1248" t="s">
        <v>2032</v>
      </c>
      <c r="E303" s="1250">
        <v>19.2</v>
      </c>
      <c r="F303" s="1251" t="s">
        <v>2031</v>
      </c>
      <c r="G303" s="1252" t="s">
        <v>2415</v>
      </c>
      <c r="H303" s="1253">
        <v>240</v>
      </c>
      <c r="I303" s="1248" t="s">
        <v>2032</v>
      </c>
      <c r="J303" s="1253">
        <v>19.2</v>
      </c>
      <c r="K303" s="1248" t="s">
        <v>2837</v>
      </c>
    </row>
    <row r="304" spans="1:11" s="1234" customFormat="1" ht="25.5">
      <c r="A304" s="1248">
        <v>10</v>
      </c>
      <c r="B304" s="1252"/>
      <c r="C304" s="1250"/>
      <c r="D304" s="1248"/>
      <c r="E304" s="1250"/>
      <c r="F304" s="1251"/>
      <c r="G304" s="1252" t="s">
        <v>2841</v>
      </c>
      <c r="H304" s="1256">
        <v>180</v>
      </c>
      <c r="I304" s="1248" t="s">
        <v>570</v>
      </c>
      <c r="J304" s="1253">
        <v>28.3</v>
      </c>
      <c r="K304" s="1248" t="s">
        <v>2836</v>
      </c>
    </row>
    <row r="305" spans="1:11" s="1234" customFormat="1" ht="25.5">
      <c r="A305" s="1248">
        <v>11</v>
      </c>
      <c r="B305" s="1252"/>
      <c r="C305" s="1250"/>
      <c r="D305" s="1248"/>
      <c r="E305" s="1250"/>
      <c r="F305" s="1251"/>
      <c r="G305" s="1252" t="s">
        <v>2842</v>
      </c>
      <c r="H305" s="1256">
        <v>200</v>
      </c>
      <c r="I305" s="1248" t="s">
        <v>207</v>
      </c>
      <c r="J305" s="1253">
        <v>20</v>
      </c>
      <c r="K305" s="1248" t="s">
        <v>2836</v>
      </c>
    </row>
    <row r="306" spans="1:11" s="1234" customFormat="1" ht="25.5">
      <c r="A306" s="1248">
        <v>12</v>
      </c>
      <c r="B306" s="1252"/>
      <c r="C306" s="1250"/>
      <c r="D306" s="1248"/>
      <c r="E306" s="1250"/>
      <c r="F306" s="1251"/>
      <c r="G306" s="1252" t="s">
        <v>2843</v>
      </c>
      <c r="H306" s="1256">
        <v>50</v>
      </c>
      <c r="I306" s="1248" t="s">
        <v>2032</v>
      </c>
      <c r="J306" s="1253">
        <v>4</v>
      </c>
      <c r="K306" s="1248" t="s">
        <v>2836</v>
      </c>
    </row>
    <row r="307" spans="1:11" s="1234" customFormat="1" ht="25.5">
      <c r="A307" s="1248">
        <v>13</v>
      </c>
      <c r="B307" s="1252"/>
      <c r="C307" s="1250"/>
      <c r="D307" s="1248"/>
      <c r="E307" s="1250"/>
      <c r="F307" s="1251"/>
      <c r="G307" s="1252" t="s">
        <v>2844</v>
      </c>
      <c r="H307" s="1256">
        <v>150</v>
      </c>
      <c r="I307" s="1248" t="s">
        <v>2032</v>
      </c>
      <c r="J307" s="1253">
        <v>12</v>
      </c>
      <c r="K307" s="1248" t="s">
        <v>2836</v>
      </c>
    </row>
    <row r="308" spans="1:11" s="1234" customFormat="1" ht="25.5">
      <c r="A308" s="1248">
        <v>14</v>
      </c>
      <c r="B308" s="1252"/>
      <c r="C308" s="1250"/>
      <c r="D308" s="1248"/>
      <c r="E308" s="1250"/>
      <c r="F308" s="1251"/>
      <c r="G308" s="1252" t="s">
        <v>2845</v>
      </c>
      <c r="H308" s="1256">
        <v>60</v>
      </c>
      <c r="I308" s="1248" t="s">
        <v>207</v>
      </c>
      <c r="J308" s="1253">
        <v>6</v>
      </c>
      <c r="K308" s="1248" t="s">
        <v>2836</v>
      </c>
    </row>
    <row r="309" spans="1:11" s="1234" customFormat="1">
      <c r="A309" s="1241" t="s">
        <v>202</v>
      </c>
      <c r="B309" s="1243" t="s">
        <v>2026</v>
      </c>
      <c r="C309" s="1254">
        <f>SUM(C310:C327)</f>
        <v>4900</v>
      </c>
      <c r="D309" s="1242"/>
      <c r="E309" s="1254">
        <f>SUM(E310:E327)</f>
        <v>490</v>
      </c>
      <c r="F309" s="1251"/>
      <c r="G309" s="1252"/>
      <c r="H309" s="1254">
        <f>SUM(H310:H327)</f>
        <v>4900</v>
      </c>
      <c r="I309" s="1242"/>
      <c r="J309" s="1254">
        <f>SUM(J310:J327)</f>
        <v>490</v>
      </c>
      <c r="K309" s="1248"/>
    </row>
    <row r="310" spans="1:11" s="1234" customFormat="1">
      <c r="A310" s="1248">
        <v>1</v>
      </c>
      <c r="B310" s="1252" t="s">
        <v>2416</v>
      </c>
      <c r="C310" s="1250">
        <v>700</v>
      </c>
      <c r="D310" s="1248" t="s">
        <v>207</v>
      </c>
      <c r="E310" s="1250">
        <v>70</v>
      </c>
      <c r="F310" s="1251" t="s">
        <v>2031</v>
      </c>
      <c r="G310" s="1252" t="s">
        <v>2416</v>
      </c>
      <c r="H310" s="1250">
        <v>700</v>
      </c>
      <c r="I310" s="1248" t="s">
        <v>207</v>
      </c>
      <c r="J310" s="1250">
        <v>70</v>
      </c>
      <c r="K310" s="1248" t="s">
        <v>2837</v>
      </c>
    </row>
    <row r="311" spans="1:11" s="1234" customFormat="1" ht="25.5">
      <c r="A311" s="1248">
        <v>2</v>
      </c>
      <c r="B311" s="1252" t="s">
        <v>2417</v>
      </c>
      <c r="C311" s="1250">
        <v>150</v>
      </c>
      <c r="D311" s="1248" t="s">
        <v>207</v>
      </c>
      <c r="E311" s="1250">
        <v>15</v>
      </c>
      <c r="F311" s="1251" t="s">
        <v>2031</v>
      </c>
      <c r="G311" s="1252" t="s">
        <v>2417</v>
      </c>
      <c r="H311" s="1250">
        <v>150</v>
      </c>
      <c r="I311" s="1248" t="s">
        <v>207</v>
      </c>
      <c r="J311" s="1250">
        <v>15</v>
      </c>
      <c r="K311" s="1248" t="s">
        <v>2837</v>
      </c>
    </row>
    <row r="312" spans="1:11" s="1234" customFormat="1">
      <c r="A312" s="1248">
        <v>3</v>
      </c>
      <c r="B312" s="1252" t="s">
        <v>2418</v>
      </c>
      <c r="C312" s="1250">
        <v>530</v>
      </c>
      <c r="D312" s="1248" t="s">
        <v>207</v>
      </c>
      <c r="E312" s="1250">
        <v>53</v>
      </c>
      <c r="F312" s="1251" t="s">
        <v>2031</v>
      </c>
      <c r="G312" s="1252" t="s">
        <v>2418</v>
      </c>
      <c r="H312" s="1250">
        <v>530</v>
      </c>
      <c r="I312" s="1248" t="s">
        <v>207</v>
      </c>
      <c r="J312" s="1250">
        <v>53</v>
      </c>
      <c r="K312" s="1248" t="s">
        <v>2837</v>
      </c>
    </row>
    <row r="313" spans="1:11" s="1234" customFormat="1">
      <c r="A313" s="1248">
        <v>4</v>
      </c>
      <c r="B313" s="1252" t="s">
        <v>2419</v>
      </c>
      <c r="C313" s="1250">
        <v>200</v>
      </c>
      <c r="D313" s="1248" t="s">
        <v>207</v>
      </c>
      <c r="E313" s="1250">
        <v>20</v>
      </c>
      <c r="F313" s="1251" t="s">
        <v>2031</v>
      </c>
      <c r="G313" s="1252" t="s">
        <v>2419</v>
      </c>
      <c r="H313" s="1250">
        <v>200</v>
      </c>
      <c r="I313" s="1248" t="s">
        <v>207</v>
      </c>
      <c r="J313" s="1250">
        <v>20</v>
      </c>
      <c r="K313" s="1248" t="s">
        <v>2837</v>
      </c>
    </row>
    <row r="314" spans="1:11" s="1234" customFormat="1">
      <c r="A314" s="1248">
        <v>5</v>
      </c>
      <c r="B314" s="1252" t="s">
        <v>2420</v>
      </c>
      <c r="C314" s="1250">
        <v>300</v>
      </c>
      <c r="D314" s="1248" t="s">
        <v>207</v>
      </c>
      <c r="E314" s="1250">
        <v>30</v>
      </c>
      <c r="F314" s="1251" t="s">
        <v>2031</v>
      </c>
      <c r="G314" s="1252" t="s">
        <v>2420</v>
      </c>
      <c r="H314" s="1250">
        <v>300</v>
      </c>
      <c r="I314" s="1248" t="s">
        <v>207</v>
      </c>
      <c r="J314" s="1250">
        <v>30</v>
      </c>
      <c r="K314" s="1248" t="s">
        <v>2837</v>
      </c>
    </row>
    <row r="315" spans="1:11" s="1234" customFormat="1">
      <c r="A315" s="1248">
        <v>6</v>
      </c>
      <c r="B315" s="1252" t="s">
        <v>2421</v>
      </c>
      <c r="C315" s="1250">
        <v>170</v>
      </c>
      <c r="D315" s="1248" t="s">
        <v>207</v>
      </c>
      <c r="E315" s="1250">
        <v>17</v>
      </c>
      <c r="F315" s="1251" t="s">
        <v>2031</v>
      </c>
      <c r="G315" s="1252" t="s">
        <v>2421</v>
      </c>
      <c r="H315" s="1250">
        <v>170</v>
      </c>
      <c r="I315" s="1248" t="s">
        <v>207</v>
      </c>
      <c r="J315" s="1250">
        <v>17</v>
      </c>
      <c r="K315" s="1248" t="s">
        <v>2837</v>
      </c>
    </row>
    <row r="316" spans="1:11" s="1234" customFormat="1" ht="25.5">
      <c r="A316" s="1248">
        <v>7</v>
      </c>
      <c r="B316" s="1252" t="s">
        <v>2422</v>
      </c>
      <c r="C316" s="1250">
        <v>250</v>
      </c>
      <c r="D316" s="1248" t="s">
        <v>207</v>
      </c>
      <c r="E316" s="1250">
        <v>25</v>
      </c>
      <c r="F316" s="1251" t="s">
        <v>2031</v>
      </c>
      <c r="G316" s="1252" t="s">
        <v>2422</v>
      </c>
      <c r="H316" s="1250">
        <v>250</v>
      </c>
      <c r="I316" s="1248" t="s">
        <v>207</v>
      </c>
      <c r="J316" s="1250">
        <v>25</v>
      </c>
      <c r="K316" s="1248" t="s">
        <v>2837</v>
      </c>
    </row>
    <row r="317" spans="1:11" s="1234" customFormat="1" ht="25.5">
      <c r="A317" s="1248">
        <v>8</v>
      </c>
      <c r="B317" s="1252" t="s">
        <v>2423</v>
      </c>
      <c r="C317" s="1250">
        <v>200</v>
      </c>
      <c r="D317" s="1248" t="s">
        <v>207</v>
      </c>
      <c r="E317" s="1250">
        <v>20</v>
      </c>
      <c r="F317" s="1251" t="s">
        <v>2031</v>
      </c>
      <c r="G317" s="1252" t="s">
        <v>2423</v>
      </c>
      <c r="H317" s="1250">
        <v>200</v>
      </c>
      <c r="I317" s="1248" t="s">
        <v>207</v>
      </c>
      <c r="J317" s="1250">
        <v>20</v>
      </c>
      <c r="K317" s="1248" t="s">
        <v>2837</v>
      </c>
    </row>
    <row r="318" spans="1:11" s="1234" customFormat="1">
      <c r="A318" s="1248">
        <v>9</v>
      </c>
      <c r="B318" s="1252" t="s">
        <v>2424</v>
      </c>
      <c r="C318" s="1250">
        <v>200</v>
      </c>
      <c r="D318" s="1248" t="s">
        <v>207</v>
      </c>
      <c r="E318" s="1250">
        <v>20</v>
      </c>
      <c r="F318" s="1251" t="s">
        <v>2031</v>
      </c>
      <c r="G318" s="1252" t="s">
        <v>2424</v>
      </c>
      <c r="H318" s="1250">
        <v>200</v>
      </c>
      <c r="I318" s="1248" t="s">
        <v>207</v>
      </c>
      <c r="J318" s="1250">
        <v>20</v>
      </c>
      <c r="K318" s="1248" t="s">
        <v>2837</v>
      </c>
    </row>
    <row r="319" spans="1:11" s="1234" customFormat="1" ht="25.5">
      <c r="A319" s="1248">
        <v>10</v>
      </c>
      <c r="B319" s="1252" t="s">
        <v>2425</v>
      </c>
      <c r="C319" s="1250">
        <v>310</v>
      </c>
      <c r="D319" s="1248" t="s">
        <v>207</v>
      </c>
      <c r="E319" s="1250">
        <v>31</v>
      </c>
      <c r="F319" s="1251" t="s">
        <v>2031</v>
      </c>
      <c r="G319" s="1252" t="s">
        <v>2425</v>
      </c>
      <c r="H319" s="1250">
        <v>310</v>
      </c>
      <c r="I319" s="1248" t="s">
        <v>207</v>
      </c>
      <c r="J319" s="1250">
        <v>31</v>
      </c>
      <c r="K319" s="1248" t="s">
        <v>2837</v>
      </c>
    </row>
    <row r="320" spans="1:11" s="1234" customFormat="1">
      <c r="A320" s="1248">
        <v>11</v>
      </c>
      <c r="B320" s="1252" t="s">
        <v>2426</v>
      </c>
      <c r="C320" s="1250">
        <v>100</v>
      </c>
      <c r="D320" s="1248" t="s">
        <v>207</v>
      </c>
      <c r="E320" s="1250">
        <v>10</v>
      </c>
      <c r="F320" s="1251" t="s">
        <v>2031</v>
      </c>
      <c r="G320" s="1252" t="s">
        <v>2426</v>
      </c>
      <c r="H320" s="1250">
        <v>100</v>
      </c>
      <c r="I320" s="1248" t="s">
        <v>207</v>
      </c>
      <c r="J320" s="1250">
        <v>10</v>
      </c>
      <c r="K320" s="1248" t="s">
        <v>2837</v>
      </c>
    </row>
    <row r="321" spans="1:11" s="1234" customFormat="1">
      <c r="A321" s="1248">
        <v>12</v>
      </c>
      <c r="B321" s="1252" t="s">
        <v>2427</v>
      </c>
      <c r="C321" s="1250">
        <v>220</v>
      </c>
      <c r="D321" s="1248" t="s">
        <v>207</v>
      </c>
      <c r="E321" s="1250">
        <v>22</v>
      </c>
      <c r="F321" s="1251" t="s">
        <v>2031</v>
      </c>
      <c r="G321" s="1252" t="s">
        <v>2427</v>
      </c>
      <c r="H321" s="1250">
        <v>220</v>
      </c>
      <c r="I321" s="1248" t="s">
        <v>207</v>
      </c>
      <c r="J321" s="1250">
        <v>22</v>
      </c>
      <c r="K321" s="1248" t="s">
        <v>2837</v>
      </c>
    </row>
    <row r="322" spans="1:11" s="1234" customFormat="1">
      <c r="A322" s="1248">
        <v>13</v>
      </c>
      <c r="B322" s="1252" t="s">
        <v>2428</v>
      </c>
      <c r="C322" s="1250">
        <v>100</v>
      </c>
      <c r="D322" s="1248" t="s">
        <v>207</v>
      </c>
      <c r="E322" s="1250">
        <v>10</v>
      </c>
      <c r="F322" s="1251" t="s">
        <v>2031</v>
      </c>
      <c r="G322" s="1252" t="s">
        <v>2428</v>
      </c>
      <c r="H322" s="1250">
        <v>100</v>
      </c>
      <c r="I322" s="1248" t="s">
        <v>207</v>
      </c>
      <c r="J322" s="1250">
        <v>10</v>
      </c>
      <c r="K322" s="1248" t="s">
        <v>2837</v>
      </c>
    </row>
    <row r="323" spans="1:11" s="1234" customFormat="1">
      <c r="A323" s="1248">
        <v>14</v>
      </c>
      <c r="B323" s="1252" t="s">
        <v>2429</v>
      </c>
      <c r="C323" s="1250">
        <v>200</v>
      </c>
      <c r="D323" s="1248" t="s">
        <v>207</v>
      </c>
      <c r="E323" s="1250">
        <v>20</v>
      </c>
      <c r="F323" s="1251" t="s">
        <v>2031</v>
      </c>
      <c r="G323" s="1252" t="s">
        <v>2429</v>
      </c>
      <c r="H323" s="1250">
        <v>200</v>
      </c>
      <c r="I323" s="1248" t="s">
        <v>207</v>
      </c>
      <c r="J323" s="1250">
        <v>20</v>
      </c>
      <c r="K323" s="1248" t="s">
        <v>2837</v>
      </c>
    </row>
    <row r="324" spans="1:11" s="1234" customFormat="1">
      <c r="A324" s="1248">
        <v>15</v>
      </c>
      <c r="B324" s="1252" t="s">
        <v>2430</v>
      </c>
      <c r="C324" s="1250">
        <v>200</v>
      </c>
      <c r="D324" s="1248" t="s">
        <v>207</v>
      </c>
      <c r="E324" s="1250">
        <v>20</v>
      </c>
      <c r="F324" s="1251" t="s">
        <v>2031</v>
      </c>
      <c r="G324" s="1252" t="s">
        <v>2430</v>
      </c>
      <c r="H324" s="1250">
        <v>200</v>
      </c>
      <c r="I324" s="1248" t="s">
        <v>207</v>
      </c>
      <c r="J324" s="1250">
        <v>20</v>
      </c>
      <c r="K324" s="1248" t="s">
        <v>2837</v>
      </c>
    </row>
    <row r="325" spans="1:11" s="1234" customFormat="1">
      <c r="A325" s="1248">
        <v>16</v>
      </c>
      <c r="B325" s="1252" t="s">
        <v>2431</v>
      </c>
      <c r="C325" s="1250">
        <v>370</v>
      </c>
      <c r="D325" s="1248" t="s">
        <v>207</v>
      </c>
      <c r="E325" s="1250">
        <v>37</v>
      </c>
      <c r="F325" s="1251" t="s">
        <v>2031</v>
      </c>
      <c r="G325" s="1252" t="s">
        <v>2431</v>
      </c>
      <c r="H325" s="1250">
        <v>370</v>
      </c>
      <c r="I325" s="1248" t="s">
        <v>207</v>
      </c>
      <c r="J325" s="1250">
        <v>37</v>
      </c>
      <c r="K325" s="1248" t="s">
        <v>2837</v>
      </c>
    </row>
    <row r="326" spans="1:11" s="1234" customFormat="1">
      <c r="A326" s="1248">
        <v>17</v>
      </c>
      <c r="B326" s="1252" t="s">
        <v>2432</v>
      </c>
      <c r="C326" s="1250">
        <v>200</v>
      </c>
      <c r="D326" s="1248" t="s">
        <v>207</v>
      </c>
      <c r="E326" s="1250">
        <v>20</v>
      </c>
      <c r="F326" s="1251" t="s">
        <v>2031</v>
      </c>
      <c r="G326" s="1252" t="s">
        <v>2432</v>
      </c>
      <c r="H326" s="1250">
        <v>200</v>
      </c>
      <c r="I326" s="1248" t="s">
        <v>207</v>
      </c>
      <c r="J326" s="1250">
        <v>20</v>
      </c>
      <c r="K326" s="1248" t="s">
        <v>2837</v>
      </c>
    </row>
    <row r="327" spans="1:11" s="1234" customFormat="1">
      <c r="A327" s="1248">
        <v>18</v>
      </c>
      <c r="B327" s="1252" t="s">
        <v>2433</v>
      </c>
      <c r="C327" s="1250">
        <v>500</v>
      </c>
      <c r="D327" s="1248" t="s">
        <v>207</v>
      </c>
      <c r="E327" s="1250">
        <v>50</v>
      </c>
      <c r="F327" s="1251" t="s">
        <v>2031</v>
      </c>
      <c r="G327" s="1252" t="s">
        <v>2433</v>
      </c>
      <c r="H327" s="1250">
        <v>500</v>
      </c>
      <c r="I327" s="1248" t="s">
        <v>207</v>
      </c>
      <c r="J327" s="1250">
        <v>50</v>
      </c>
      <c r="K327" s="1248" t="s">
        <v>2837</v>
      </c>
    </row>
    <row r="328" spans="1:11" s="1247" customFormat="1">
      <c r="A328" s="1241" t="s">
        <v>213</v>
      </c>
      <c r="B328" s="1243" t="s">
        <v>2025</v>
      </c>
      <c r="C328" s="1254">
        <f>SUM(C329:C370)</f>
        <v>4065</v>
      </c>
      <c r="D328" s="1242"/>
      <c r="E328" s="1254">
        <f>SUM(E329:F370)</f>
        <v>404.90000000000003</v>
      </c>
      <c r="F328" s="1244"/>
      <c r="G328" s="1245"/>
      <c r="H328" s="1254">
        <f>SUM(H329:H370)</f>
        <v>4065</v>
      </c>
      <c r="I328" s="1242"/>
      <c r="J328" s="1254">
        <f>SUM(J329:K370)</f>
        <v>404.9</v>
      </c>
      <c r="K328" s="1241"/>
    </row>
    <row r="329" spans="1:11" s="1234" customFormat="1" ht="25.5">
      <c r="A329" s="1248">
        <v>1</v>
      </c>
      <c r="B329" s="1252" t="s">
        <v>2434</v>
      </c>
      <c r="C329" s="1250">
        <v>400</v>
      </c>
      <c r="D329" s="1248" t="s">
        <v>207</v>
      </c>
      <c r="E329" s="1250">
        <v>40</v>
      </c>
      <c r="F329" s="1251" t="s">
        <v>2031</v>
      </c>
      <c r="G329" s="1252"/>
      <c r="H329" s="1253"/>
      <c r="I329" s="1248"/>
      <c r="J329" s="1253"/>
      <c r="K329" s="1248" t="s">
        <v>2838</v>
      </c>
    </row>
    <row r="330" spans="1:11" s="1234" customFormat="1">
      <c r="A330" s="1248">
        <v>2</v>
      </c>
      <c r="B330" s="1252" t="s">
        <v>2435</v>
      </c>
      <c r="C330" s="1250">
        <v>110</v>
      </c>
      <c r="D330" s="1248" t="s">
        <v>207</v>
      </c>
      <c r="E330" s="1250">
        <v>11</v>
      </c>
      <c r="F330" s="1251" t="s">
        <v>2031</v>
      </c>
      <c r="G330" s="1252" t="s">
        <v>2435</v>
      </c>
      <c r="H330" s="1253">
        <v>110</v>
      </c>
      <c r="I330" s="1248" t="s">
        <v>207</v>
      </c>
      <c r="J330" s="1253">
        <v>11</v>
      </c>
      <c r="K330" s="1248" t="s">
        <v>2837</v>
      </c>
    </row>
    <row r="331" spans="1:11" s="1234" customFormat="1" ht="25.5">
      <c r="A331" s="1248">
        <v>3</v>
      </c>
      <c r="B331" s="1252" t="s">
        <v>2436</v>
      </c>
      <c r="C331" s="1250">
        <v>105</v>
      </c>
      <c r="D331" s="1248" t="s">
        <v>207</v>
      </c>
      <c r="E331" s="1250">
        <v>10.5</v>
      </c>
      <c r="F331" s="1251" t="s">
        <v>2031</v>
      </c>
      <c r="G331" s="1252" t="s">
        <v>2436</v>
      </c>
      <c r="H331" s="1253">
        <v>105</v>
      </c>
      <c r="I331" s="1248" t="s">
        <v>207</v>
      </c>
      <c r="J331" s="1253">
        <v>10.5</v>
      </c>
      <c r="K331" s="1248" t="s">
        <v>2837</v>
      </c>
    </row>
    <row r="332" spans="1:11" s="1234" customFormat="1">
      <c r="A332" s="1248">
        <v>4</v>
      </c>
      <c r="B332" s="1252" t="s">
        <v>2437</v>
      </c>
      <c r="C332" s="1250">
        <v>55</v>
      </c>
      <c r="D332" s="1248" t="s">
        <v>207</v>
      </c>
      <c r="E332" s="1250">
        <v>5.5</v>
      </c>
      <c r="F332" s="1251" t="s">
        <v>2031</v>
      </c>
      <c r="G332" s="1252" t="s">
        <v>2437</v>
      </c>
      <c r="H332" s="1253">
        <v>55</v>
      </c>
      <c r="I332" s="1248" t="s">
        <v>207</v>
      </c>
      <c r="J332" s="1253">
        <v>5.5</v>
      </c>
      <c r="K332" s="1248" t="s">
        <v>2837</v>
      </c>
    </row>
    <row r="333" spans="1:11" s="1234" customFormat="1">
      <c r="A333" s="1248">
        <v>5</v>
      </c>
      <c r="B333" s="1252" t="s">
        <v>2438</v>
      </c>
      <c r="C333" s="1250">
        <v>52</v>
      </c>
      <c r="D333" s="1248" t="s">
        <v>2032</v>
      </c>
      <c r="E333" s="1250">
        <v>4.2</v>
      </c>
      <c r="F333" s="1251" t="s">
        <v>2031</v>
      </c>
      <c r="G333" s="1252" t="s">
        <v>2438</v>
      </c>
      <c r="H333" s="1253">
        <v>52</v>
      </c>
      <c r="I333" s="1248" t="s">
        <v>2032</v>
      </c>
      <c r="J333" s="1253">
        <v>4.2</v>
      </c>
      <c r="K333" s="1248" t="s">
        <v>2837</v>
      </c>
    </row>
    <row r="334" spans="1:11" s="1234" customFormat="1" ht="25.5">
      <c r="A334" s="1248">
        <v>6</v>
      </c>
      <c r="B334" s="1252" t="s">
        <v>2439</v>
      </c>
      <c r="C334" s="1250">
        <v>32</v>
      </c>
      <c r="D334" s="1248" t="s">
        <v>2032</v>
      </c>
      <c r="E334" s="1250">
        <v>2.6</v>
      </c>
      <c r="F334" s="1251" t="s">
        <v>2031</v>
      </c>
      <c r="G334" s="1252" t="s">
        <v>2439</v>
      </c>
      <c r="H334" s="1253">
        <v>32</v>
      </c>
      <c r="I334" s="1248" t="s">
        <v>2032</v>
      </c>
      <c r="J334" s="1253">
        <v>2.6</v>
      </c>
      <c r="K334" s="1248" t="s">
        <v>2837</v>
      </c>
    </row>
    <row r="335" spans="1:11" s="1234" customFormat="1" ht="25.5">
      <c r="A335" s="1248">
        <v>7</v>
      </c>
      <c r="B335" s="1252" t="s">
        <v>2440</v>
      </c>
      <c r="C335" s="1250">
        <v>525</v>
      </c>
      <c r="D335" s="1248" t="s">
        <v>207</v>
      </c>
      <c r="E335" s="1250">
        <v>52.5</v>
      </c>
      <c r="F335" s="1251" t="s">
        <v>2031</v>
      </c>
      <c r="G335" s="1252" t="s">
        <v>2440</v>
      </c>
      <c r="H335" s="1250">
        <v>525</v>
      </c>
      <c r="I335" s="1248" t="s">
        <v>207</v>
      </c>
      <c r="J335" s="1250">
        <v>52.5</v>
      </c>
      <c r="K335" s="1248" t="s">
        <v>2837</v>
      </c>
    </row>
    <row r="336" spans="1:11" s="1234" customFormat="1" ht="25.5">
      <c r="A336" s="1248">
        <v>8</v>
      </c>
      <c r="B336" s="1252" t="s">
        <v>2441</v>
      </c>
      <c r="C336" s="1250">
        <v>210</v>
      </c>
      <c r="D336" s="1248" t="s">
        <v>207</v>
      </c>
      <c r="E336" s="1250">
        <v>21</v>
      </c>
      <c r="F336" s="1251" t="s">
        <v>2031</v>
      </c>
      <c r="G336" s="1252" t="s">
        <v>2441</v>
      </c>
      <c r="H336" s="1253">
        <v>210</v>
      </c>
      <c r="I336" s="1248" t="s">
        <v>207</v>
      </c>
      <c r="J336" s="1253">
        <v>21</v>
      </c>
      <c r="K336" s="1248" t="s">
        <v>2837</v>
      </c>
    </row>
    <row r="337" spans="1:11" s="1234" customFormat="1" ht="25.5">
      <c r="A337" s="1248">
        <v>9</v>
      </c>
      <c r="B337" s="1252" t="s">
        <v>2442</v>
      </c>
      <c r="C337" s="1250">
        <v>130</v>
      </c>
      <c r="D337" s="1248" t="s">
        <v>207</v>
      </c>
      <c r="E337" s="1250">
        <v>13</v>
      </c>
      <c r="F337" s="1251" t="s">
        <v>2031</v>
      </c>
      <c r="G337" s="1252"/>
      <c r="H337" s="1253"/>
      <c r="I337" s="1248"/>
      <c r="J337" s="1253"/>
      <c r="K337" s="1248" t="s">
        <v>2838</v>
      </c>
    </row>
    <row r="338" spans="1:11" s="1234" customFormat="1" ht="25.5">
      <c r="A338" s="1248">
        <v>10</v>
      </c>
      <c r="B338" s="1252" t="s">
        <v>2443</v>
      </c>
      <c r="C338" s="1250">
        <v>73</v>
      </c>
      <c r="D338" s="1248" t="s">
        <v>207</v>
      </c>
      <c r="E338" s="1250">
        <v>7.3</v>
      </c>
      <c r="F338" s="1251" t="s">
        <v>2031</v>
      </c>
      <c r="G338" s="1252" t="s">
        <v>2443</v>
      </c>
      <c r="H338" s="1253">
        <v>73</v>
      </c>
      <c r="I338" s="1248" t="s">
        <v>207</v>
      </c>
      <c r="J338" s="1253">
        <v>7.3</v>
      </c>
      <c r="K338" s="1248" t="s">
        <v>2837</v>
      </c>
    </row>
    <row r="339" spans="1:11" s="1234" customFormat="1" ht="25.5">
      <c r="A339" s="1248">
        <v>11</v>
      </c>
      <c r="B339" s="1252" t="s">
        <v>2444</v>
      </c>
      <c r="C339" s="1250">
        <v>90</v>
      </c>
      <c r="D339" s="1248" t="s">
        <v>207</v>
      </c>
      <c r="E339" s="1250">
        <v>9</v>
      </c>
      <c r="F339" s="1251" t="s">
        <v>2031</v>
      </c>
      <c r="G339" s="1252" t="s">
        <v>2444</v>
      </c>
      <c r="H339" s="1253">
        <v>90</v>
      </c>
      <c r="I339" s="1248" t="s">
        <v>207</v>
      </c>
      <c r="J339" s="1253">
        <v>9</v>
      </c>
      <c r="K339" s="1248" t="s">
        <v>2837</v>
      </c>
    </row>
    <row r="340" spans="1:11" s="1234" customFormat="1" ht="25.5">
      <c r="A340" s="1248">
        <v>12</v>
      </c>
      <c r="B340" s="1252" t="s">
        <v>2445</v>
      </c>
      <c r="C340" s="1250">
        <v>80</v>
      </c>
      <c r="D340" s="1248" t="s">
        <v>207</v>
      </c>
      <c r="E340" s="1250">
        <v>8</v>
      </c>
      <c r="F340" s="1251" t="s">
        <v>2031</v>
      </c>
      <c r="G340" s="1252" t="s">
        <v>2445</v>
      </c>
      <c r="H340" s="1253">
        <v>80</v>
      </c>
      <c r="I340" s="1248" t="s">
        <v>207</v>
      </c>
      <c r="J340" s="1253">
        <v>8</v>
      </c>
      <c r="K340" s="1248" t="s">
        <v>2837</v>
      </c>
    </row>
    <row r="341" spans="1:11" s="1234" customFormat="1" ht="25.5">
      <c r="A341" s="1248">
        <v>13</v>
      </c>
      <c r="B341" s="1252" t="s">
        <v>2446</v>
      </c>
      <c r="C341" s="1250">
        <v>34</v>
      </c>
      <c r="D341" s="1248" t="s">
        <v>207</v>
      </c>
      <c r="E341" s="1250">
        <v>3.4</v>
      </c>
      <c r="F341" s="1251" t="s">
        <v>2031</v>
      </c>
      <c r="G341" s="1252" t="s">
        <v>2446</v>
      </c>
      <c r="H341" s="1253">
        <v>34</v>
      </c>
      <c r="I341" s="1248" t="s">
        <v>207</v>
      </c>
      <c r="J341" s="1253">
        <v>3.4</v>
      </c>
      <c r="K341" s="1248" t="s">
        <v>2837</v>
      </c>
    </row>
    <row r="342" spans="1:11" s="1234" customFormat="1" ht="25.5">
      <c r="A342" s="1248">
        <v>14</v>
      </c>
      <c r="B342" s="1252" t="s">
        <v>2447</v>
      </c>
      <c r="C342" s="1250">
        <v>136</v>
      </c>
      <c r="D342" s="1248" t="s">
        <v>207</v>
      </c>
      <c r="E342" s="1250">
        <v>13.6</v>
      </c>
      <c r="F342" s="1251" t="s">
        <v>2031</v>
      </c>
      <c r="G342" s="1252" t="s">
        <v>2447</v>
      </c>
      <c r="H342" s="1253">
        <v>136</v>
      </c>
      <c r="I342" s="1248" t="s">
        <v>207</v>
      </c>
      <c r="J342" s="1253">
        <v>13.6</v>
      </c>
      <c r="K342" s="1248" t="s">
        <v>2837</v>
      </c>
    </row>
    <row r="343" spans="1:11" s="1234" customFormat="1" ht="25.5">
      <c r="A343" s="1248">
        <v>15</v>
      </c>
      <c r="B343" s="1252" t="s">
        <v>2448</v>
      </c>
      <c r="C343" s="1250">
        <v>124</v>
      </c>
      <c r="D343" s="1248" t="s">
        <v>207</v>
      </c>
      <c r="E343" s="1250">
        <v>12.4</v>
      </c>
      <c r="F343" s="1251" t="s">
        <v>2031</v>
      </c>
      <c r="G343" s="1252" t="s">
        <v>2448</v>
      </c>
      <c r="H343" s="1253">
        <v>124</v>
      </c>
      <c r="I343" s="1248" t="s">
        <v>207</v>
      </c>
      <c r="J343" s="1253">
        <v>12.4</v>
      </c>
      <c r="K343" s="1248" t="s">
        <v>2837</v>
      </c>
    </row>
    <row r="344" spans="1:11" s="1234" customFormat="1" ht="25.5">
      <c r="A344" s="1248">
        <v>16</v>
      </c>
      <c r="B344" s="1252" t="s">
        <v>2449</v>
      </c>
      <c r="C344" s="1250">
        <v>124</v>
      </c>
      <c r="D344" s="1248" t="s">
        <v>207</v>
      </c>
      <c r="E344" s="1250">
        <v>12.4</v>
      </c>
      <c r="F344" s="1251" t="s">
        <v>2031</v>
      </c>
      <c r="G344" s="1252" t="s">
        <v>2449</v>
      </c>
      <c r="H344" s="1253">
        <v>124</v>
      </c>
      <c r="I344" s="1248" t="s">
        <v>207</v>
      </c>
      <c r="J344" s="1253">
        <v>12.4</v>
      </c>
      <c r="K344" s="1248" t="s">
        <v>2837</v>
      </c>
    </row>
    <row r="345" spans="1:11" s="1234" customFormat="1" ht="25.5">
      <c r="A345" s="1248">
        <v>17</v>
      </c>
      <c r="B345" s="1252" t="s">
        <v>2450</v>
      </c>
      <c r="C345" s="1250">
        <v>115</v>
      </c>
      <c r="D345" s="1248" t="s">
        <v>207</v>
      </c>
      <c r="E345" s="1250">
        <v>11.5</v>
      </c>
      <c r="F345" s="1251" t="s">
        <v>2031</v>
      </c>
      <c r="G345" s="1252"/>
      <c r="H345" s="1253"/>
      <c r="I345" s="1248"/>
      <c r="J345" s="1253"/>
      <c r="K345" s="1248" t="s">
        <v>2838</v>
      </c>
    </row>
    <row r="346" spans="1:11" s="1234" customFormat="1" ht="25.5">
      <c r="A346" s="1248">
        <v>18</v>
      </c>
      <c r="B346" s="1252" t="s">
        <v>2451</v>
      </c>
      <c r="C346" s="1250">
        <v>95</v>
      </c>
      <c r="D346" s="1248" t="s">
        <v>207</v>
      </c>
      <c r="E346" s="1250">
        <v>9.5</v>
      </c>
      <c r="F346" s="1251" t="s">
        <v>2031</v>
      </c>
      <c r="G346" s="1252" t="s">
        <v>2451</v>
      </c>
      <c r="H346" s="1253">
        <v>95</v>
      </c>
      <c r="I346" s="1248" t="s">
        <v>207</v>
      </c>
      <c r="J346" s="1253">
        <v>9.5</v>
      </c>
      <c r="K346" s="1248" t="s">
        <v>2837</v>
      </c>
    </row>
    <row r="347" spans="1:11" s="1234" customFormat="1">
      <c r="A347" s="1248">
        <v>19</v>
      </c>
      <c r="B347" s="1252" t="s">
        <v>2452</v>
      </c>
      <c r="C347" s="1250">
        <v>86</v>
      </c>
      <c r="D347" s="1248" t="s">
        <v>207</v>
      </c>
      <c r="E347" s="1250">
        <v>8.6</v>
      </c>
      <c r="F347" s="1251" t="s">
        <v>2031</v>
      </c>
      <c r="G347" s="1252" t="s">
        <v>2452</v>
      </c>
      <c r="H347" s="1253">
        <v>86</v>
      </c>
      <c r="I347" s="1248" t="s">
        <v>207</v>
      </c>
      <c r="J347" s="1253">
        <v>8.6</v>
      </c>
      <c r="K347" s="1248" t="s">
        <v>2837</v>
      </c>
    </row>
    <row r="348" spans="1:11" s="1234" customFormat="1" ht="25.5">
      <c r="A348" s="1248">
        <v>20</v>
      </c>
      <c r="B348" s="1252" t="s">
        <v>2453</v>
      </c>
      <c r="C348" s="1250">
        <v>54</v>
      </c>
      <c r="D348" s="1248" t="s">
        <v>207</v>
      </c>
      <c r="E348" s="1250">
        <v>5.4</v>
      </c>
      <c r="F348" s="1251" t="s">
        <v>2031</v>
      </c>
      <c r="G348" s="1252" t="s">
        <v>2453</v>
      </c>
      <c r="H348" s="1253">
        <v>54</v>
      </c>
      <c r="I348" s="1248" t="s">
        <v>207</v>
      </c>
      <c r="J348" s="1253">
        <v>5.4</v>
      </c>
      <c r="K348" s="1248" t="s">
        <v>2837</v>
      </c>
    </row>
    <row r="349" spans="1:11" s="1234" customFormat="1" ht="25.5">
      <c r="A349" s="1248">
        <v>21</v>
      </c>
      <c r="B349" s="1252" t="s">
        <v>2454</v>
      </c>
      <c r="C349" s="1250">
        <v>70</v>
      </c>
      <c r="D349" s="1248" t="s">
        <v>207</v>
      </c>
      <c r="E349" s="1250">
        <v>7</v>
      </c>
      <c r="F349" s="1251" t="s">
        <v>2031</v>
      </c>
      <c r="G349" s="1252" t="s">
        <v>2454</v>
      </c>
      <c r="H349" s="1253">
        <v>70</v>
      </c>
      <c r="I349" s="1248" t="s">
        <v>207</v>
      </c>
      <c r="J349" s="1253">
        <v>7</v>
      </c>
      <c r="K349" s="1248" t="s">
        <v>2837</v>
      </c>
    </row>
    <row r="350" spans="1:11" s="1234" customFormat="1" ht="25.5">
      <c r="A350" s="1248">
        <v>22</v>
      </c>
      <c r="B350" s="1252" t="s">
        <v>2455</v>
      </c>
      <c r="C350" s="1250">
        <v>360</v>
      </c>
      <c r="D350" s="1248" t="s">
        <v>207</v>
      </c>
      <c r="E350" s="1250">
        <v>36</v>
      </c>
      <c r="F350" s="1251" t="s">
        <v>2031</v>
      </c>
      <c r="G350" s="1252" t="s">
        <v>2455</v>
      </c>
      <c r="H350" s="1253">
        <v>270</v>
      </c>
      <c r="I350" s="1248" t="s">
        <v>207</v>
      </c>
      <c r="J350" s="1253">
        <v>27</v>
      </c>
      <c r="K350" s="1248" t="s">
        <v>2839</v>
      </c>
    </row>
    <row r="351" spans="1:11" s="1234" customFormat="1" ht="25.5">
      <c r="A351" s="1248">
        <v>23</v>
      </c>
      <c r="B351" s="1252" t="s">
        <v>2456</v>
      </c>
      <c r="C351" s="1250">
        <v>130</v>
      </c>
      <c r="D351" s="1248" t="s">
        <v>207</v>
      </c>
      <c r="E351" s="1250">
        <v>13</v>
      </c>
      <c r="F351" s="1251" t="s">
        <v>2031</v>
      </c>
      <c r="G351" s="1252"/>
      <c r="H351" s="1253"/>
      <c r="I351" s="1248"/>
      <c r="J351" s="1253"/>
      <c r="K351" s="1248" t="s">
        <v>2838</v>
      </c>
    </row>
    <row r="352" spans="1:11" s="1234" customFormat="1" ht="25.5">
      <c r="A352" s="1248">
        <v>24</v>
      </c>
      <c r="B352" s="1252" t="s">
        <v>2457</v>
      </c>
      <c r="C352" s="1250">
        <v>120</v>
      </c>
      <c r="D352" s="1248" t="s">
        <v>207</v>
      </c>
      <c r="E352" s="1250">
        <v>12</v>
      </c>
      <c r="F352" s="1251" t="s">
        <v>2031</v>
      </c>
      <c r="G352" s="1252" t="s">
        <v>2457</v>
      </c>
      <c r="H352" s="1253">
        <v>130</v>
      </c>
      <c r="I352" s="1248" t="s">
        <v>207</v>
      </c>
      <c r="J352" s="1253">
        <v>13</v>
      </c>
      <c r="K352" s="1248" t="s">
        <v>2840</v>
      </c>
    </row>
    <row r="353" spans="1:11" s="1234" customFormat="1" ht="25.5">
      <c r="A353" s="1248">
        <v>25</v>
      </c>
      <c r="B353" s="1252" t="s">
        <v>2458</v>
      </c>
      <c r="C353" s="1250">
        <v>100</v>
      </c>
      <c r="D353" s="1248" t="s">
        <v>207</v>
      </c>
      <c r="E353" s="1250">
        <v>10</v>
      </c>
      <c r="F353" s="1251" t="s">
        <v>2031</v>
      </c>
      <c r="G353" s="1252" t="s">
        <v>2458</v>
      </c>
      <c r="H353" s="1253">
        <v>115</v>
      </c>
      <c r="I353" s="1248" t="s">
        <v>207</v>
      </c>
      <c r="J353" s="1253">
        <v>11.5</v>
      </c>
      <c r="K353" s="1248" t="s">
        <v>2840</v>
      </c>
    </row>
    <row r="354" spans="1:11" s="1234" customFormat="1">
      <c r="A354" s="1248">
        <v>26</v>
      </c>
      <c r="B354" s="1252" t="s">
        <v>2459</v>
      </c>
      <c r="C354" s="1250">
        <v>50</v>
      </c>
      <c r="D354" s="1248" t="s">
        <v>207</v>
      </c>
      <c r="E354" s="1250">
        <v>5</v>
      </c>
      <c r="F354" s="1251" t="s">
        <v>2031</v>
      </c>
      <c r="G354" s="1252" t="s">
        <v>2459</v>
      </c>
      <c r="H354" s="1253">
        <v>50</v>
      </c>
      <c r="I354" s="1248" t="s">
        <v>207</v>
      </c>
      <c r="J354" s="1253">
        <v>5</v>
      </c>
      <c r="K354" s="1248" t="s">
        <v>2837</v>
      </c>
    </row>
    <row r="355" spans="1:11" s="1234" customFormat="1" ht="25.5">
      <c r="A355" s="1248">
        <v>27</v>
      </c>
      <c r="B355" s="1252" t="s">
        <v>2460</v>
      </c>
      <c r="C355" s="1250">
        <v>50</v>
      </c>
      <c r="D355" s="1248" t="s">
        <v>207</v>
      </c>
      <c r="E355" s="1250">
        <v>5</v>
      </c>
      <c r="F355" s="1251" t="s">
        <v>2031</v>
      </c>
      <c r="G355" s="1252" t="s">
        <v>2460</v>
      </c>
      <c r="H355" s="1253">
        <v>25</v>
      </c>
      <c r="I355" s="1248" t="s">
        <v>207</v>
      </c>
      <c r="J355" s="1253">
        <v>2.5</v>
      </c>
      <c r="K355" s="1248" t="s">
        <v>2839</v>
      </c>
    </row>
    <row r="356" spans="1:11" s="1234" customFormat="1">
      <c r="A356" s="1248">
        <v>28</v>
      </c>
      <c r="B356" s="1252" t="s">
        <v>2461</v>
      </c>
      <c r="C356" s="1250">
        <v>150</v>
      </c>
      <c r="D356" s="1248" t="s">
        <v>207</v>
      </c>
      <c r="E356" s="1250">
        <v>15</v>
      </c>
      <c r="F356" s="1251" t="s">
        <v>2031</v>
      </c>
      <c r="G356" s="1252" t="s">
        <v>2461</v>
      </c>
      <c r="H356" s="1253">
        <v>150</v>
      </c>
      <c r="I356" s="1248" t="s">
        <v>207</v>
      </c>
      <c r="J356" s="1253">
        <v>15</v>
      </c>
      <c r="K356" s="1248" t="s">
        <v>2837</v>
      </c>
    </row>
    <row r="357" spans="1:11" s="1234" customFormat="1">
      <c r="A357" s="1248">
        <v>29</v>
      </c>
      <c r="B357" s="1252" t="s">
        <v>2462</v>
      </c>
      <c r="C357" s="1250">
        <v>90</v>
      </c>
      <c r="D357" s="1248" t="s">
        <v>207</v>
      </c>
      <c r="E357" s="1250">
        <v>9</v>
      </c>
      <c r="F357" s="1251" t="s">
        <v>2031</v>
      </c>
      <c r="G357" s="1252" t="s">
        <v>2462</v>
      </c>
      <c r="H357" s="1253">
        <v>90</v>
      </c>
      <c r="I357" s="1248" t="s">
        <v>207</v>
      </c>
      <c r="J357" s="1253">
        <v>9</v>
      </c>
      <c r="K357" s="1248" t="s">
        <v>2837</v>
      </c>
    </row>
    <row r="358" spans="1:11" s="1234" customFormat="1">
      <c r="A358" s="1248">
        <v>30</v>
      </c>
      <c r="B358" s="1252" t="s">
        <v>2463</v>
      </c>
      <c r="C358" s="1250">
        <v>100</v>
      </c>
      <c r="D358" s="1248" t="s">
        <v>207</v>
      </c>
      <c r="E358" s="1250">
        <v>10</v>
      </c>
      <c r="F358" s="1251" t="s">
        <v>2031</v>
      </c>
      <c r="G358" s="1252" t="s">
        <v>2463</v>
      </c>
      <c r="H358" s="1253">
        <v>100</v>
      </c>
      <c r="I358" s="1248" t="s">
        <v>207</v>
      </c>
      <c r="J358" s="1253">
        <v>10</v>
      </c>
      <c r="K358" s="1248" t="s">
        <v>2837</v>
      </c>
    </row>
    <row r="359" spans="1:11" s="1234" customFormat="1">
      <c r="A359" s="1248">
        <v>31</v>
      </c>
      <c r="B359" s="1252" t="s">
        <v>2464</v>
      </c>
      <c r="C359" s="1250">
        <v>60</v>
      </c>
      <c r="D359" s="1248" t="s">
        <v>207</v>
      </c>
      <c r="E359" s="1250">
        <v>6</v>
      </c>
      <c r="F359" s="1251" t="s">
        <v>2031</v>
      </c>
      <c r="G359" s="1252" t="s">
        <v>2464</v>
      </c>
      <c r="H359" s="1253">
        <v>60</v>
      </c>
      <c r="I359" s="1248" t="s">
        <v>207</v>
      </c>
      <c r="J359" s="1253">
        <v>6</v>
      </c>
      <c r="K359" s="1248" t="s">
        <v>2837</v>
      </c>
    </row>
    <row r="360" spans="1:11" s="1234" customFormat="1">
      <c r="A360" s="1248">
        <v>32</v>
      </c>
      <c r="B360" s="1252" t="s">
        <v>2465</v>
      </c>
      <c r="C360" s="1250">
        <v>60</v>
      </c>
      <c r="D360" s="1248" t="s">
        <v>207</v>
      </c>
      <c r="E360" s="1250">
        <v>6</v>
      </c>
      <c r="F360" s="1251" t="s">
        <v>2031</v>
      </c>
      <c r="G360" s="1252" t="s">
        <v>2465</v>
      </c>
      <c r="H360" s="1253">
        <v>60</v>
      </c>
      <c r="I360" s="1248" t="s">
        <v>207</v>
      </c>
      <c r="J360" s="1253">
        <v>6</v>
      </c>
      <c r="K360" s="1248" t="s">
        <v>2837</v>
      </c>
    </row>
    <row r="361" spans="1:11" s="1234" customFormat="1" ht="25.5">
      <c r="A361" s="1248">
        <v>33</v>
      </c>
      <c r="B361" s="1252" t="s">
        <v>2466</v>
      </c>
      <c r="C361" s="1250">
        <v>95</v>
      </c>
      <c r="D361" s="1248" t="s">
        <v>207</v>
      </c>
      <c r="E361" s="1250">
        <v>9.5</v>
      </c>
      <c r="F361" s="1251" t="s">
        <v>2031</v>
      </c>
      <c r="G361" s="1252" t="s">
        <v>2466</v>
      </c>
      <c r="H361" s="1253">
        <v>95</v>
      </c>
      <c r="I361" s="1248" t="s">
        <v>207</v>
      </c>
      <c r="J361" s="1253">
        <v>9.5</v>
      </c>
      <c r="K361" s="1248" t="s">
        <v>2837</v>
      </c>
    </row>
    <row r="362" spans="1:11" s="1234" customFormat="1" ht="25.5">
      <c r="A362" s="1248">
        <v>34</v>
      </c>
      <c r="B362" s="1252"/>
      <c r="C362" s="1250"/>
      <c r="D362" s="1248"/>
      <c r="E362" s="1250"/>
      <c r="F362" s="1251"/>
      <c r="G362" s="1252" t="s">
        <v>2846</v>
      </c>
      <c r="H362" s="1253">
        <v>90</v>
      </c>
      <c r="I362" s="1248" t="s">
        <v>207</v>
      </c>
      <c r="J362" s="1253">
        <v>9</v>
      </c>
      <c r="K362" s="1248" t="s">
        <v>2836</v>
      </c>
    </row>
    <row r="363" spans="1:11" s="1234" customFormat="1" ht="25.5">
      <c r="A363" s="1248">
        <v>35</v>
      </c>
      <c r="B363" s="1252"/>
      <c r="C363" s="1250"/>
      <c r="D363" s="1248"/>
      <c r="E363" s="1250"/>
      <c r="F363" s="1251"/>
      <c r="G363" s="1252" t="s">
        <v>2847</v>
      </c>
      <c r="H363" s="1253">
        <v>145</v>
      </c>
      <c r="I363" s="1248" t="s">
        <v>207</v>
      </c>
      <c r="J363" s="1253">
        <v>14.5</v>
      </c>
      <c r="K363" s="1248" t="s">
        <v>2836</v>
      </c>
    </row>
    <row r="364" spans="1:11" s="1234" customFormat="1" ht="25.5">
      <c r="A364" s="1248">
        <v>36</v>
      </c>
      <c r="B364" s="1252"/>
      <c r="C364" s="1250"/>
      <c r="D364" s="1248"/>
      <c r="E364" s="1250"/>
      <c r="F364" s="1251"/>
      <c r="G364" s="1252" t="s">
        <v>2848</v>
      </c>
      <c r="H364" s="1253">
        <v>40</v>
      </c>
      <c r="I364" s="1248" t="s">
        <v>207</v>
      </c>
      <c r="J364" s="1253">
        <v>4</v>
      </c>
      <c r="K364" s="1248" t="s">
        <v>2836</v>
      </c>
    </row>
    <row r="365" spans="1:11" s="1234" customFormat="1" ht="25.5">
      <c r="A365" s="1248">
        <v>37</v>
      </c>
      <c r="B365" s="1252"/>
      <c r="C365" s="1250"/>
      <c r="D365" s="1248"/>
      <c r="E365" s="1250"/>
      <c r="F365" s="1251"/>
      <c r="G365" s="1252" t="s">
        <v>2849</v>
      </c>
      <c r="H365" s="1253">
        <v>60</v>
      </c>
      <c r="I365" s="1248" t="s">
        <v>207</v>
      </c>
      <c r="J365" s="1253">
        <v>6</v>
      </c>
      <c r="K365" s="1248" t="s">
        <v>2836</v>
      </c>
    </row>
    <row r="366" spans="1:11" s="1234" customFormat="1" ht="25.5">
      <c r="A366" s="1248">
        <v>38</v>
      </c>
      <c r="B366" s="1252"/>
      <c r="C366" s="1250"/>
      <c r="D366" s="1248"/>
      <c r="E366" s="1250"/>
      <c r="F366" s="1251"/>
      <c r="G366" s="1252" t="s">
        <v>2850</v>
      </c>
      <c r="H366" s="1253">
        <v>50</v>
      </c>
      <c r="I366" s="1248" t="s">
        <v>207</v>
      </c>
      <c r="J366" s="1253">
        <v>5</v>
      </c>
      <c r="K366" s="1248" t="s">
        <v>2836</v>
      </c>
    </row>
    <row r="367" spans="1:11" s="1234" customFormat="1">
      <c r="A367" s="1248">
        <v>39</v>
      </c>
      <c r="B367" s="1252"/>
      <c r="C367" s="1250"/>
      <c r="D367" s="1248"/>
      <c r="E367" s="1250"/>
      <c r="F367" s="1251"/>
      <c r="G367" s="1252" t="s">
        <v>2851</v>
      </c>
      <c r="H367" s="1253">
        <v>85</v>
      </c>
      <c r="I367" s="1248" t="s">
        <v>207</v>
      </c>
      <c r="J367" s="1253">
        <v>8.5</v>
      </c>
      <c r="K367" s="1248" t="s">
        <v>2836</v>
      </c>
    </row>
    <row r="368" spans="1:11" s="1234" customFormat="1" ht="25.5">
      <c r="A368" s="1248">
        <v>40</v>
      </c>
      <c r="B368" s="1252"/>
      <c r="C368" s="1250"/>
      <c r="D368" s="1248"/>
      <c r="E368" s="1250"/>
      <c r="F368" s="1251"/>
      <c r="G368" s="1252" t="s">
        <v>2852</v>
      </c>
      <c r="H368" s="1253">
        <v>240</v>
      </c>
      <c r="I368" s="1248" t="s">
        <v>207</v>
      </c>
      <c r="J368" s="1253">
        <v>24</v>
      </c>
      <c r="K368" s="1248" t="s">
        <v>2836</v>
      </c>
    </row>
    <row r="369" spans="1:11" s="1234" customFormat="1" ht="25.5">
      <c r="A369" s="1248">
        <v>41</v>
      </c>
      <c r="B369" s="1252"/>
      <c r="C369" s="1250"/>
      <c r="D369" s="1248"/>
      <c r="E369" s="1250"/>
      <c r="F369" s="1251"/>
      <c r="G369" s="1252" t="s">
        <v>2853</v>
      </c>
      <c r="H369" s="1253">
        <v>65</v>
      </c>
      <c r="I369" s="1248" t="s">
        <v>207</v>
      </c>
      <c r="J369" s="1253">
        <v>6.5</v>
      </c>
      <c r="K369" s="1248" t="s">
        <v>2836</v>
      </c>
    </row>
    <row r="370" spans="1:11" s="1234" customFormat="1">
      <c r="A370" s="1248">
        <v>42</v>
      </c>
      <c r="B370" s="1252"/>
      <c r="C370" s="1250"/>
      <c r="D370" s="1248"/>
      <c r="E370" s="1250"/>
      <c r="F370" s="1251"/>
      <c r="G370" s="1252" t="s">
        <v>2854</v>
      </c>
      <c r="H370" s="1253">
        <v>90</v>
      </c>
      <c r="I370" s="1248" t="s">
        <v>207</v>
      </c>
      <c r="J370" s="1253">
        <v>9</v>
      </c>
      <c r="K370" s="1248" t="s">
        <v>2836</v>
      </c>
    </row>
    <row r="371" spans="1:11" s="1234" customFormat="1">
      <c r="A371" s="1241" t="s">
        <v>216</v>
      </c>
      <c r="B371" s="1243" t="s">
        <v>2027</v>
      </c>
      <c r="C371" s="1254">
        <f>SUM(C372:C480)</f>
        <v>9444</v>
      </c>
      <c r="D371" s="1242"/>
      <c r="E371" s="1254">
        <f>SUM(E372:E480)</f>
        <v>944.4000000000002</v>
      </c>
      <c r="F371" s="1251"/>
      <c r="G371" s="1252"/>
      <c r="H371" s="1254">
        <f>SUM(H372:H480)</f>
        <v>9444</v>
      </c>
      <c r="I371" s="1242"/>
      <c r="J371" s="1254">
        <f>SUM(J372:J480)</f>
        <v>944.4</v>
      </c>
      <c r="K371" s="1248"/>
    </row>
    <row r="372" spans="1:11" s="1234" customFormat="1">
      <c r="A372" s="1248">
        <v>1</v>
      </c>
      <c r="B372" s="1252" t="s">
        <v>2467</v>
      </c>
      <c r="C372" s="1250">
        <v>500</v>
      </c>
      <c r="D372" s="1248" t="s">
        <v>207</v>
      </c>
      <c r="E372" s="1250">
        <v>50</v>
      </c>
      <c r="F372" s="1251" t="s">
        <v>2031</v>
      </c>
      <c r="G372" s="1252" t="s">
        <v>2467</v>
      </c>
      <c r="H372" s="1253">
        <v>500</v>
      </c>
      <c r="I372" s="1248" t="s">
        <v>207</v>
      </c>
      <c r="J372" s="1253">
        <v>50</v>
      </c>
      <c r="K372" s="1248" t="s">
        <v>2837</v>
      </c>
    </row>
    <row r="373" spans="1:11" s="1234" customFormat="1" ht="25.5">
      <c r="A373" s="1248">
        <v>2</v>
      </c>
      <c r="B373" s="1252" t="s">
        <v>2468</v>
      </c>
      <c r="C373" s="1250">
        <v>270</v>
      </c>
      <c r="D373" s="1248" t="s">
        <v>207</v>
      </c>
      <c r="E373" s="1250">
        <v>27</v>
      </c>
      <c r="F373" s="1251" t="s">
        <v>2031</v>
      </c>
      <c r="G373" s="1252" t="s">
        <v>2468</v>
      </c>
      <c r="H373" s="1253">
        <v>270</v>
      </c>
      <c r="I373" s="1248" t="s">
        <v>207</v>
      </c>
      <c r="J373" s="1253">
        <v>27</v>
      </c>
      <c r="K373" s="1248" t="s">
        <v>2837</v>
      </c>
    </row>
    <row r="374" spans="1:11" s="1234" customFormat="1" ht="25.5">
      <c r="A374" s="1248">
        <v>3</v>
      </c>
      <c r="B374" s="1252" t="s">
        <v>2469</v>
      </c>
      <c r="C374" s="1250">
        <v>305</v>
      </c>
      <c r="D374" s="1248" t="s">
        <v>207</v>
      </c>
      <c r="E374" s="1250">
        <v>30.5</v>
      </c>
      <c r="F374" s="1251" t="s">
        <v>2031</v>
      </c>
      <c r="G374" s="1252" t="s">
        <v>2469</v>
      </c>
      <c r="H374" s="1253">
        <v>305</v>
      </c>
      <c r="I374" s="1248" t="s">
        <v>207</v>
      </c>
      <c r="J374" s="1253">
        <v>30.5</v>
      </c>
      <c r="K374" s="1248" t="s">
        <v>2837</v>
      </c>
    </row>
    <row r="375" spans="1:11" s="1234" customFormat="1" ht="25.5">
      <c r="A375" s="1248">
        <v>4</v>
      </c>
      <c r="B375" s="1252" t="s">
        <v>2470</v>
      </c>
      <c r="C375" s="1250">
        <v>700</v>
      </c>
      <c r="D375" s="1248" t="s">
        <v>207</v>
      </c>
      <c r="E375" s="1250">
        <v>70</v>
      </c>
      <c r="F375" s="1251" t="s">
        <v>2031</v>
      </c>
      <c r="G375" s="1252"/>
      <c r="H375" s="1253"/>
      <c r="I375" s="1248"/>
      <c r="J375" s="1253"/>
      <c r="K375" s="1248" t="s">
        <v>2838</v>
      </c>
    </row>
    <row r="376" spans="1:11" s="1234" customFormat="1">
      <c r="A376" s="1248">
        <v>5</v>
      </c>
      <c r="B376" s="1252" t="s">
        <v>2471</v>
      </c>
      <c r="C376" s="1250">
        <v>523</v>
      </c>
      <c r="D376" s="1248" t="s">
        <v>207</v>
      </c>
      <c r="E376" s="1250">
        <v>52.3</v>
      </c>
      <c r="F376" s="1251" t="s">
        <v>2031</v>
      </c>
      <c r="G376" s="1252" t="s">
        <v>2471</v>
      </c>
      <c r="H376" s="1253">
        <v>523</v>
      </c>
      <c r="I376" s="1248" t="s">
        <v>207</v>
      </c>
      <c r="J376" s="1253">
        <v>52.3</v>
      </c>
      <c r="K376" s="1248"/>
    </row>
    <row r="377" spans="1:11" s="1234" customFormat="1" ht="25.5">
      <c r="A377" s="1248">
        <v>6</v>
      </c>
      <c r="B377" s="1252" t="s">
        <v>2472</v>
      </c>
      <c r="C377" s="1250">
        <v>40</v>
      </c>
      <c r="D377" s="1248" t="s">
        <v>207</v>
      </c>
      <c r="E377" s="1250">
        <v>4</v>
      </c>
      <c r="F377" s="1251" t="s">
        <v>2031</v>
      </c>
      <c r="G377" s="1252"/>
      <c r="H377" s="1253"/>
      <c r="I377" s="1248"/>
      <c r="J377" s="1253"/>
      <c r="K377" s="1248" t="s">
        <v>2838</v>
      </c>
    </row>
    <row r="378" spans="1:11" s="1234" customFormat="1" ht="25.5">
      <c r="A378" s="1248">
        <v>7</v>
      </c>
      <c r="B378" s="1252" t="s">
        <v>2473</v>
      </c>
      <c r="C378" s="1250">
        <v>270</v>
      </c>
      <c r="D378" s="1248" t="s">
        <v>207</v>
      </c>
      <c r="E378" s="1250">
        <v>27</v>
      </c>
      <c r="F378" s="1251" t="s">
        <v>2031</v>
      </c>
      <c r="G378" s="1252"/>
      <c r="H378" s="1253"/>
      <c r="I378" s="1248"/>
      <c r="J378" s="1253"/>
      <c r="K378" s="1248" t="s">
        <v>2838</v>
      </c>
    </row>
    <row r="379" spans="1:11" s="1234" customFormat="1" ht="25.5">
      <c r="A379" s="1248">
        <v>8</v>
      </c>
      <c r="B379" s="1252" t="s">
        <v>2474</v>
      </c>
      <c r="C379" s="1250">
        <v>30</v>
      </c>
      <c r="D379" s="1248" t="s">
        <v>207</v>
      </c>
      <c r="E379" s="1250">
        <v>3</v>
      </c>
      <c r="F379" s="1251" t="s">
        <v>2031</v>
      </c>
      <c r="G379" s="1252" t="s">
        <v>2474</v>
      </c>
      <c r="H379" s="1253">
        <v>30</v>
      </c>
      <c r="I379" s="1248" t="s">
        <v>207</v>
      </c>
      <c r="J379" s="1253">
        <v>3</v>
      </c>
      <c r="K379" s="1248" t="s">
        <v>2837</v>
      </c>
    </row>
    <row r="380" spans="1:11" s="1234" customFormat="1" ht="25.5">
      <c r="A380" s="1248">
        <v>9</v>
      </c>
      <c r="B380" s="1252" t="s">
        <v>2475</v>
      </c>
      <c r="C380" s="1250">
        <v>116</v>
      </c>
      <c r="D380" s="1248" t="s">
        <v>207</v>
      </c>
      <c r="E380" s="1250">
        <v>11.6</v>
      </c>
      <c r="F380" s="1251" t="s">
        <v>2031</v>
      </c>
      <c r="G380" s="1252" t="s">
        <v>2475</v>
      </c>
      <c r="H380" s="1253">
        <v>116</v>
      </c>
      <c r="I380" s="1248" t="s">
        <v>207</v>
      </c>
      <c r="J380" s="1253">
        <v>11.6</v>
      </c>
      <c r="K380" s="1248" t="s">
        <v>2837</v>
      </c>
    </row>
    <row r="381" spans="1:11" s="1234" customFormat="1" ht="25.5">
      <c r="A381" s="1248">
        <v>10</v>
      </c>
      <c r="B381" s="1252" t="s">
        <v>2476</v>
      </c>
      <c r="C381" s="1250">
        <v>265</v>
      </c>
      <c r="D381" s="1248" t="s">
        <v>207</v>
      </c>
      <c r="E381" s="1250">
        <v>26.5</v>
      </c>
      <c r="F381" s="1251" t="s">
        <v>2031</v>
      </c>
      <c r="G381" s="1252" t="s">
        <v>2476</v>
      </c>
      <c r="H381" s="1253">
        <v>265</v>
      </c>
      <c r="I381" s="1248" t="s">
        <v>207</v>
      </c>
      <c r="J381" s="1253">
        <v>26.5</v>
      </c>
      <c r="K381" s="1248" t="s">
        <v>2837</v>
      </c>
    </row>
    <row r="382" spans="1:11" s="1234" customFormat="1" ht="25.5">
      <c r="A382" s="1248">
        <v>11</v>
      </c>
      <c r="B382" s="1252" t="s">
        <v>2477</v>
      </c>
      <c r="C382" s="1250">
        <v>109</v>
      </c>
      <c r="D382" s="1248" t="s">
        <v>207</v>
      </c>
      <c r="E382" s="1250">
        <v>10.9</v>
      </c>
      <c r="F382" s="1251" t="s">
        <v>2031</v>
      </c>
      <c r="G382" s="1252" t="s">
        <v>2477</v>
      </c>
      <c r="H382" s="1253">
        <v>109</v>
      </c>
      <c r="I382" s="1248" t="s">
        <v>207</v>
      </c>
      <c r="J382" s="1253">
        <v>10.9</v>
      </c>
      <c r="K382" s="1248" t="s">
        <v>2837</v>
      </c>
    </row>
    <row r="383" spans="1:11" s="1234" customFormat="1" ht="25.5">
      <c r="A383" s="1248">
        <v>12</v>
      </c>
      <c r="B383" s="1252" t="s">
        <v>2478</v>
      </c>
      <c r="C383" s="1250">
        <v>30</v>
      </c>
      <c r="D383" s="1248" t="s">
        <v>207</v>
      </c>
      <c r="E383" s="1250">
        <v>3</v>
      </c>
      <c r="F383" s="1251" t="s">
        <v>2031</v>
      </c>
      <c r="G383" s="1252"/>
      <c r="H383" s="1253"/>
      <c r="I383" s="1248"/>
      <c r="J383" s="1253"/>
      <c r="K383" s="1248" t="s">
        <v>2838</v>
      </c>
    </row>
    <row r="384" spans="1:11" s="1234" customFormat="1" ht="25.5">
      <c r="A384" s="1248">
        <v>13</v>
      </c>
      <c r="B384" s="1252" t="s">
        <v>2479</v>
      </c>
      <c r="C384" s="1250">
        <v>250</v>
      </c>
      <c r="D384" s="1248" t="s">
        <v>207</v>
      </c>
      <c r="E384" s="1250">
        <v>25</v>
      </c>
      <c r="F384" s="1251" t="s">
        <v>2031</v>
      </c>
      <c r="G384" s="1252"/>
      <c r="H384" s="1253"/>
      <c r="I384" s="1248"/>
      <c r="J384" s="1253"/>
      <c r="K384" s="1248" t="s">
        <v>2838</v>
      </c>
    </row>
    <row r="385" spans="1:11" s="1234" customFormat="1" ht="25.5">
      <c r="A385" s="1248">
        <v>14</v>
      </c>
      <c r="B385" s="1252" t="s">
        <v>2480</v>
      </c>
      <c r="C385" s="1250">
        <v>100</v>
      </c>
      <c r="D385" s="1248" t="s">
        <v>207</v>
      </c>
      <c r="E385" s="1250">
        <v>10</v>
      </c>
      <c r="F385" s="1251" t="s">
        <v>2031</v>
      </c>
      <c r="G385" s="1252" t="s">
        <v>2480</v>
      </c>
      <c r="H385" s="1253">
        <v>100</v>
      </c>
      <c r="I385" s="1248" t="s">
        <v>207</v>
      </c>
      <c r="J385" s="1253">
        <v>10</v>
      </c>
      <c r="K385" s="1248" t="s">
        <v>2837</v>
      </c>
    </row>
    <row r="386" spans="1:11" s="1234" customFormat="1" ht="25.5">
      <c r="A386" s="1248">
        <v>15</v>
      </c>
      <c r="B386" s="1252" t="s">
        <v>2481</v>
      </c>
      <c r="C386" s="1250">
        <v>205</v>
      </c>
      <c r="D386" s="1248" t="s">
        <v>207</v>
      </c>
      <c r="E386" s="1250">
        <v>20.5</v>
      </c>
      <c r="F386" s="1251" t="s">
        <v>2031</v>
      </c>
      <c r="G386" s="1252" t="s">
        <v>2481</v>
      </c>
      <c r="H386" s="1253">
        <v>205</v>
      </c>
      <c r="I386" s="1248" t="s">
        <v>207</v>
      </c>
      <c r="J386" s="1253">
        <v>20.5</v>
      </c>
      <c r="K386" s="1248" t="s">
        <v>2837</v>
      </c>
    </row>
    <row r="387" spans="1:11" s="1234" customFormat="1" ht="25.5">
      <c r="A387" s="1248">
        <v>16</v>
      </c>
      <c r="B387" s="1252" t="s">
        <v>2482</v>
      </c>
      <c r="C387" s="1250">
        <v>95</v>
      </c>
      <c r="D387" s="1248" t="s">
        <v>207</v>
      </c>
      <c r="E387" s="1250">
        <v>9.5</v>
      </c>
      <c r="F387" s="1251" t="s">
        <v>2031</v>
      </c>
      <c r="G387" s="1252" t="s">
        <v>2482</v>
      </c>
      <c r="H387" s="1253">
        <v>95</v>
      </c>
      <c r="I387" s="1248" t="s">
        <v>207</v>
      </c>
      <c r="J387" s="1253">
        <v>9.5</v>
      </c>
      <c r="K387" s="1248" t="s">
        <v>2837</v>
      </c>
    </row>
    <row r="388" spans="1:11" s="1234" customFormat="1" ht="25.5">
      <c r="A388" s="1248">
        <v>17</v>
      </c>
      <c r="B388" s="1252" t="s">
        <v>2483</v>
      </c>
      <c r="C388" s="1250">
        <v>232</v>
      </c>
      <c r="D388" s="1248" t="s">
        <v>207</v>
      </c>
      <c r="E388" s="1250">
        <v>23.2</v>
      </c>
      <c r="F388" s="1251" t="s">
        <v>2031</v>
      </c>
      <c r="G388" s="1252"/>
      <c r="H388" s="1253"/>
      <c r="I388" s="1248"/>
      <c r="J388" s="1253"/>
      <c r="K388" s="1248" t="s">
        <v>2838</v>
      </c>
    </row>
    <row r="389" spans="1:11" s="1234" customFormat="1" ht="25.5">
      <c r="A389" s="1248">
        <v>18</v>
      </c>
      <c r="B389" s="1252" t="s">
        <v>2484</v>
      </c>
      <c r="C389" s="1250">
        <v>35</v>
      </c>
      <c r="D389" s="1248" t="s">
        <v>207</v>
      </c>
      <c r="E389" s="1250">
        <v>3.5</v>
      </c>
      <c r="F389" s="1251" t="s">
        <v>2031</v>
      </c>
      <c r="G389" s="1252"/>
      <c r="H389" s="1253"/>
      <c r="I389" s="1248"/>
      <c r="J389" s="1253"/>
      <c r="K389" s="1248" t="s">
        <v>2838</v>
      </c>
    </row>
    <row r="390" spans="1:11" s="1234" customFormat="1" ht="25.5">
      <c r="A390" s="1248">
        <v>19</v>
      </c>
      <c r="B390" s="1252" t="s">
        <v>2485</v>
      </c>
      <c r="C390" s="1250">
        <v>80</v>
      </c>
      <c r="D390" s="1248" t="s">
        <v>207</v>
      </c>
      <c r="E390" s="1250">
        <v>8</v>
      </c>
      <c r="F390" s="1251" t="s">
        <v>2031</v>
      </c>
      <c r="G390" s="1252"/>
      <c r="H390" s="1253"/>
      <c r="I390" s="1248"/>
      <c r="J390" s="1253"/>
      <c r="K390" s="1248" t="s">
        <v>2838</v>
      </c>
    </row>
    <row r="391" spans="1:11" s="1234" customFormat="1" ht="25.5">
      <c r="A391" s="1248">
        <v>20</v>
      </c>
      <c r="B391" s="1252" t="s">
        <v>2486</v>
      </c>
      <c r="C391" s="1250">
        <v>230</v>
      </c>
      <c r="D391" s="1248" t="s">
        <v>207</v>
      </c>
      <c r="E391" s="1250">
        <v>23</v>
      </c>
      <c r="F391" s="1251" t="s">
        <v>2031</v>
      </c>
      <c r="G391" s="1252" t="s">
        <v>2486</v>
      </c>
      <c r="H391" s="1253">
        <v>230</v>
      </c>
      <c r="I391" s="1248" t="s">
        <v>207</v>
      </c>
      <c r="J391" s="1253">
        <v>23</v>
      </c>
      <c r="K391" s="1248" t="s">
        <v>2837</v>
      </c>
    </row>
    <row r="392" spans="1:11" s="1234" customFormat="1" ht="25.5">
      <c r="A392" s="1248">
        <v>21</v>
      </c>
      <c r="B392" s="1252" t="s">
        <v>2487</v>
      </c>
      <c r="C392" s="1250">
        <v>110</v>
      </c>
      <c r="D392" s="1248" t="s">
        <v>207</v>
      </c>
      <c r="E392" s="1250">
        <v>11</v>
      </c>
      <c r="F392" s="1251" t="s">
        <v>2031</v>
      </c>
      <c r="G392" s="1252" t="s">
        <v>2487</v>
      </c>
      <c r="H392" s="1253">
        <v>110</v>
      </c>
      <c r="I392" s="1248" t="s">
        <v>207</v>
      </c>
      <c r="J392" s="1253">
        <v>11</v>
      </c>
      <c r="K392" s="1248" t="s">
        <v>2837</v>
      </c>
    </row>
    <row r="393" spans="1:11" s="1234" customFormat="1" ht="25.5">
      <c r="A393" s="1248">
        <v>22</v>
      </c>
      <c r="B393" s="1252" t="s">
        <v>2488</v>
      </c>
      <c r="C393" s="1250">
        <v>35</v>
      </c>
      <c r="D393" s="1248" t="s">
        <v>207</v>
      </c>
      <c r="E393" s="1250">
        <v>3.5</v>
      </c>
      <c r="F393" s="1251" t="s">
        <v>2031</v>
      </c>
      <c r="G393" s="1252" t="s">
        <v>2488</v>
      </c>
      <c r="H393" s="1253">
        <v>35</v>
      </c>
      <c r="I393" s="1248" t="s">
        <v>207</v>
      </c>
      <c r="J393" s="1253">
        <v>3.5</v>
      </c>
      <c r="K393" s="1248" t="s">
        <v>2837</v>
      </c>
    </row>
    <row r="394" spans="1:11" s="1234" customFormat="1">
      <c r="A394" s="1248">
        <v>23</v>
      </c>
      <c r="B394" s="1252" t="s">
        <v>2489</v>
      </c>
      <c r="C394" s="1250">
        <v>91</v>
      </c>
      <c r="D394" s="1248" t="s">
        <v>207</v>
      </c>
      <c r="E394" s="1250">
        <v>9.1</v>
      </c>
      <c r="F394" s="1251" t="s">
        <v>2031</v>
      </c>
      <c r="G394" s="1252" t="s">
        <v>2489</v>
      </c>
      <c r="H394" s="1253">
        <v>91</v>
      </c>
      <c r="I394" s="1248" t="s">
        <v>207</v>
      </c>
      <c r="J394" s="1253">
        <v>9.1</v>
      </c>
      <c r="K394" s="1248" t="s">
        <v>2837</v>
      </c>
    </row>
    <row r="395" spans="1:11" s="1234" customFormat="1" ht="25.5">
      <c r="A395" s="1248">
        <v>24</v>
      </c>
      <c r="B395" s="1252" t="s">
        <v>2490</v>
      </c>
      <c r="C395" s="1250">
        <v>55</v>
      </c>
      <c r="D395" s="1248" t="s">
        <v>207</v>
      </c>
      <c r="E395" s="1250">
        <v>5.5</v>
      </c>
      <c r="F395" s="1251" t="s">
        <v>2031</v>
      </c>
      <c r="G395" s="1252"/>
      <c r="H395" s="1253"/>
      <c r="I395" s="1248"/>
      <c r="J395" s="1253"/>
      <c r="K395" s="1248" t="s">
        <v>2838</v>
      </c>
    </row>
    <row r="396" spans="1:11" s="1234" customFormat="1" ht="25.5">
      <c r="A396" s="1248">
        <v>25</v>
      </c>
      <c r="B396" s="1252" t="s">
        <v>2491</v>
      </c>
      <c r="C396" s="1250">
        <v>130</v>
      </c>
      <c r="D396" s="1248" t="s">
        <v>207</v>
      </c>
      <c r="E396" s="1250">
        <v>13</v>
      </c>
      <c r="F396" s="1251" t="s">
        <v>2031</v>
      </c>
      <c r="G396" s="1252" t="s">
        <v>2491</v>
      </c>
      <c r="H396" s="1253">
        <v>130</v>
      </c>
      <c r="I396" s="1248" t="s">
        <v>207</v>
      </c>
      <c r="J396" s="1253">
        <v>13</v>
      </c>
      <c r="K396" s="1248" t="s">
        <v>2837</v>
      </c>
    </row>
    <row r="397" spans="1:11" s="1234" customFormat="1" ht="25.5">
      <c r="A397" s="1248">
        <v>26</v>
      </c>
      <c r="B397" s="1252" t="s">
        <v>2492</v>
      </c>
      <c r="C397" s="1250">
        <v>250</v>
      </c>
      <c r="D397" s="1248" t="s">
        <v>207</v>
      </c>
      <c r="E397" s="1250">
        <v>25</v>
      </c>
      <c r="F397" s="1251" t="s">
        <v>2031</v>
      </c>
      <c r="G397" s="1252" t="s">
        <v>2492</v>
      </c>
      <c r="H397" s="1253">
        <v>250</v>
      </c>
      <c r="I397" s="1248" t="s">
        <v>207</v>
      </c>
      <c r="J397" s="1253">
        <v>25</v>
      </c>
      <c r="K397" s="1248" t="s">
        <v>2837</v>
      </c>
    </row>
    <row r="398" spans="1:11" s="1234" customFormat="1" ht="25.5">
      <c r="A398" s="1248">
        <v>27</v>
      </c>
      <c r="B398" s="1252" t="s">
        <v>2493</v>
      </c>
      <c r="C398" s="1250">
        <v>150</v>
      </c>
      <c r="D398" s="1248" t="s">
        <v>207</v>
      </c>
      <c r="E398" s="1250">
        <v>15</v>
      </c>
      <c r="F398" s="1251" t="s">
        <v>2031</v>
      </c>
      <c r="G398" s="1252" t="s">
        <v>2493</v>
      </c>
      <c r="H398" s="1253">
        <v>150</v>
      </c>
      <c r="I398" s="1248" t="s">
        <v>207</v>
      </c>
      <c r="J398" s="1253">
        <v>15</v>
      </c>
      <c r="K398" s="1248" t="s">
        <v>2837</v>
      </c>
    </row>
    <row r="399" spans="1:11" s="1234" customFormat="1" ht="25.5">
      <c r="A399" s="1248">
        <v>28</v>
      </c>
      <c r="B399" s="1252" t="s">
        <v>2494</v>
      </c>
      <c r="C399" s="1250">
        <v>110</v>
      </c>
      <c r="D399" s="1248" t="s">
        <v>207</v>
      </c>
      <c r="E399" s="1250">
        <v>11</v>
      </c>
      <c r="F399" s="1251" t="s">
        <v>2031</v>
      </c>
      <c r="G399" s="1252"/>
      <c r="H399" s="1253"/>
      <c r="I399" s="1248"/>
      <c r="J399" s="1253"/>
      <c r="K399" s="1248" t="s">
        <v>2838</v>
      </c>
    </row>
    <row r="400" spans="1:11" s="1234" customFormat="1" ht="25.5">
      <c r="A400" s="1248">
        <v>29</v>
      </c>
      <c r="B400" s="1252" t="s">
        <v>2495</v>
      </c>
      <c r="C400" s="1250">
        <v>87</v>
      </c>
      <c r="D400" s="1248" t="s">
        <v>207</v>
      </c>
      <c r="E400" s="1250">
        <v>8.6999999999999993</v>
      </c>
      <c r="F400" s="1251" t="s">
        <v>2031</v>
      </c>
      <c r="G400" s="1252" t="s">
        <v>2495</v>
      </c>
      <c r="H400" s="1253">
        <v>87</v>
      </c>
      <c r="I400" s="1248" t="s">
        <v>207</v>
      </c>
      <c r="J400" s="1253">
        <v>8.6999999999999993</v>
      </c>
      <c r="K400" s="1248" t="s">
        <v>2837</v>
      </c>
    </row>
    <row r="401" spans="1:11" s="1234" customFormat="1" ht="25.5">
      <c r="A401" s="1248">
        <v>30</v>
      </c>
      <c r="B401" s="1252" t="s">
        <v>2496</v>
      </c>
      <c r="C401" s="1250">
        <v>70</v>
      </c>
      <c r="D401" s="1248" t="s">
        <v>207</v>
      </c>
      <c r="E401" s="1250">
        <v>7</v>
      </c>
      <c r="F401" s="1251" t="s">
        <v>2031</v>
      </c>
      <c r="G401" s="1252"/>
      <c r="H401" s="1253"/>
      <c r="I401" s="1248"/>
      <c r="J401" s="1253"/>
      <c r="K401" s="1248" t="s">
        <v>2838</v>
      </c>
    </row>
    <row r="402" spans="1:11" s="1234" customFormat="1" ht="25.5">
      <c r="A402" s="1248">
        <v>31</v>
      </c>
      <c r="B402" s="1252" t="s">
        <v>2497</v>
      </c>
      <c r="C402" s="1250">
        <v>150</v>
      </c>
      <c r="D402" s="1248" t="s">
        <v>207</v>
      </c>
      <c r="E402" s="1250">
        <v>15</v>
      </c>
      <c r="F402" s="1251" t="s">
        <v>2031</v>
      </c>
      <c r="G402" s="1252"/>
      <c r="H402" s="1253"/>
      <c r="I402" s="1248"/>
      <c r="J402" s="1253"/>
      <c r="K402" s="1248" t="s">
        <v>2838</v>
      </c>
    </row>
    <row r="403" spans="1:11" s="1234" customFormat="1" ht="25.5">
      <c r="A403" s="1248">
        <v>32</v>
      </c>
      <c r="B403" s="1252" t="s">
        <v>2498</v>
      </c>
      <c r="C403" s="1250">
        <v>100</v>
      </c>
      <c r="D403" s="1248" t="s">
        <v>207</v>
      </c>
      <c r="E403" s="1250">
        <v>10</v>
      </c>
      <c r="F403" s="1251" t="s">
        <v>2031</v>
      </c>
      <c r="G403" s="1252" t="s">
        <v>2498</v>
      </c>
      <c r="H403" s="1253">
        <v>100</v>
      </c>
      <c r="I403" s="1248" t="s">
        <v>207</v>
      </c>
      <c r="J403" s="1253">
        <v>10</v>
      </c>
      <c r="K403" s="1248" t="s">
        <v>2837</v>
      </c>
    </row>
    <row r="404" spans="1:11" s="1234" customFormat="1" ht="25.5">
      <c r="A404" s="1248">
        <v>33</v>
      </c>
      <c r="B404" s="1252" t="s">
        <v>2499</v>
      </c>
      <c r="C404" s="1250">
        <v>360</v>
      </c>
      <c r="D404" s="1248" t="s">
        <v>207</v>
      </c>
      <c r="E404" s="1250">
        <v>36</v>
      </c>
      <c r="F404" s="1251" t="s">
        <v>2031</v>
      </c>
      <c r="G404" s="1252"/>
      <c r="H404" s="1253"/>
      <c r="I404" s="1248"/>
      <c r="J404" s="1253"/>
      <c r="K404" s="1248" t="s">
        <v>2838</v>
      </c>
    </row>
    <row r="405" spans="1:11" s="1234" customFormat="1" ht="25.5">
      <c r="A405" s="1248">
        <v>34</v>
      </c>
      <c r="B405" s="1252" t="s">
        <v>2500</v>
      </c>
      <c r="C405" s="1250">
        <v>68</v>
      </c>
      <c r="D405" s="1248" t="s">
        <v>207</v>
      </c>
      <c r="E405" s="1250">
        <v>6.8</v>
      </c>
      <c r="F405" s="1251" t="s">
        <v>2031</v>
      </c>
      <c r="G405" s="1252" t="s">
        <v>2500</v>
      </c>
      <c r="H405" s="1253">
        <v>68</v>
      </c>
      <c r="I405" s="1248" t="s">
        <v>207</v>
      </c>
      <c r="J405" s="1253">
        <v>6.8</v>
      </c>
      <c r="K405" s="1248" t="s">
        <v>2837</v>
      </c>
    </row>
    <row r="406" spans="1:11" s="1234" customFormat="1" ht="25.5">
      <c r="A406" s="1248">
        <v>35</v>
      </c>
      <c r="B406" s="1252" t="s">
        <v>2501</v>
      </c>
      <c r="C406" s="1250">
        <v>65</v>
      </c>
      <c r="D406" s="1248" t="s">
        <v>207</v>
      </c>
      <c r="E406" s="1250">
        <v>6.5</v>
      </c>
      <c r="F406" s="1251" t="s">
        <v>2031</v>
      </c>
      <c r="G406" s="1252" t="s">
        <v>2501</v>
      </c>
      <c r="H406" s="1253">
        <v>65</v>
      </c>
      <c r="I406" s="1248" t="s">
        <v>207</v>
      </c>
      <c r="J406" s="1253">
        <v>6.5</v>
      </c>
      <c r="K406" s="1248" t="s">
        <v>2837</v>
      </c>
    </row>
    <row r="407" spans="1:11" s="1234" customFormat="1" ht="25.5">
      <c r="A407" s="1248">
        <v>36</v>
      </c>
      <c r="B407" s="1252" t="s">
        <v>2502</v>
      </c>
      <c r="C407" s="1250">
        <v>130</v>
      </c>
      <c r="D407" s="1248" t="s">
        <v>207</v>
      </c>
      <c r="E407" s="1250">
        <v>13</v>
      </c>
      <c r="F407" s="1251" t="s">
        <v>2031</v>
      </c>
      <c r="G407" s="1252" t="s">
        <v>2502</v>
      </c>
      <c r="H407" s="1253">
        <v>130</v>
      </c>
      <c r="I407" s="1248" t="s">
        <v>207</v>
      </c>
      <c r="J407" s="1253">
        <v>13</v>
      </c>
      <c r="K407" s="1248" t="s">
        <v>2837</v>
      </c>
    </row>
    <row r="408" spans="1:11" s="1234" customFormat="1" ht="25.5">
      <c r="A408" s="1248">
        <v>37</v>
      </c>
      <c r="B408" s="1252" t="s">
        <v>2503</v>
      </c>
      <c r="C408" s="1250">
        <v>80</v>
      </c>
      <c r="D408" s="1248" t="s">
        <v>207</v>
      </c>
      <c r="E408" s="1250">
        <v>8</v>
      </c>
      <c r="F408" s="1251" t="s">
        <v>2031</v>
      </c>
      <c r="G408" s="1252" t="s">
        <v>2503</v>
      </c>
      <c r="H408" s="1253">
        <v>80</v>
      </c>
      <c r="I408" s="1248" t="s">
        <v>207</v>
      </c>
      <c r="J408" s="1253">
        <v>8</v>
      </c>
      <c r="K408" s="1248" t="s">
        <v>2837</v>
      </c>
    </row>
    <row r="409" spans="1:11" s="1234" customFormat="1" ht="25.5">
      <c r="A409" s="1248">
        <v>38</v>
      </c>
      <c r="B409" s="1252" t="s">
        <v>2504</v>
      </c>
      <c r="C409" s="1250">
        <v>162</v>
      </c>
      <c r="D409" s="1248" t="s">
        <v>207</v>
      </c>
      <c r="E409" s="1250">
        <v>16.2</v>
      </c>
      <c r="F409" s="1251" t="s">
        <v>2031</v>
      </c>
      <c r="G409" s="1252" t="s">
        <v>2504</v>
      </c>
      <c r="H409" s="1253">
        <v>162</v>
      </c>
      <c r="I409" s="1248" t="s">
        <v>207</v>
      </c>
      <c r="J409" s="1253">
        <v>16.2</v>
      </c>
      <c r="K409" s="1248" t="s">
        <v>2837</v>
      </c>
    </row>
    <row r="410" spans="1:11" s="1234" customFormat="1" ht="25.5">
      <c r="A410" s="1248">
        <v>39</v>
      </c>
      <c r="B410" s="1252" t="s">
        <v>2505</v>
      </c>
      <c r="C410" s="1250">
        <v>102</v>
      </c>
      <c r="D410" s="1248" t="s">
        <v>207</v>
      </c>
      <c r="E410" s="1250">
        <v>10.199999999999999</v>
      </c>
      <c r="F410" s="1251" t="s">
        <v>2031</v>
      </c>
      <c r="G410" s="1252" t="s">
        <v>2505</v>
      </c>
      <c r="H410" s="1253">
        <v>102</v>
      </c>
      <c r="I410" s="1248" t="s">
        <v>207</v>
      </c>
      <c r="J410" s="1253">
        <v>10.199999999999999</v>
      </c>
      <c r="K410" s="1248" t="s">
        <v>2837</v>
      </c>
    </row>
    <row r="411" spans="1:11" s="1234" customFormat="1" ht="25.5">
      <c r="A411" s="1248">
        <v>40</v>
      </c>
      <c r="B411" s="1252" t="s">
        <v>2506</v>
      </c>
      <c r="C411" s="1250">
        <v>70</v>
      </c>
      <c r="D411" s="1248" t="s">
        <v>207</v>
      </c>
      <c r="E411" s="1250">
        <v>7</v>
      </c>
      <c r="F411" s="1251" t="s">
        <v>2031</v>
      </c>
      <c r="G411" s="1252" t="s">
        <v>2506</v>
      </c>
      <c r="H411" s="1253">
        <v>70</v>
      </c>
      <c r="I411" s="1248" t="s">
        <v>207</v>
      </c>
      <c r="J411" s="1253">
        <v>7</v>
      </c>
      <c r="K411" s="1248" t="s">
        <v>2837</v>
      </c>
    </row>
    <row r="412" spans="1:11" s="1234" customFormat="1" ht="25.5">
      <c r="A412" s="1248">
        <v>41</v>
      </c>
      <c r="B412" s="1252" t="s">
        <v>2507</v>
      </c>
      <c r="C412" s="1250">
        <v>100</v>
      </c>
      <c r="D412" s="1248" t="s">
        <v>207</v>
      </c>
      <c r="E412" s="1250">
        <v>10</v>
      </c>
      <c r="F412" s="1251" t="s">
        <v>2031</v>
      </c>
      <c r="G412" s="1252" t="s">
        <v>2507</v>
      </c>
      <c r="H412" s="1253">
        <v>100</v>
      </c>
      <c r="I412" s="1248" t="s">
        <v>207</v>
      </c>
      <c r="J412" s="1253">
        <v>10</v>
      </c>
      <c r="K412" s="1248" t="s">
        <v>2837</v>
      </c>
    </row>
    <row r="413" spans="1:11" s="1234" customFormat="1" ht="25.5">
      <c r="A413" s="1248">
        <v>42</v>
      </c>
      <c r="B413" s="1252" t="s">
        <v>2508</v>
      </c>
      <c r="C413" s="1250">
        <v>67</v>
      </c>
      <c r="D413" s="1248" t="s">
        <v>207</v>
      </c>
      <c r="E413" s="1250">
        <v>6.7</v>
      </c>
      <c r="F413" s="1251" t="s">
        <v>2031</v>
      </c>
      <c r="G413" s="1252" t="s">
        <v>2508</v>
      </c>
      <c r="H413" s="1253">
        <v>67</v>
      </c>
      <c r="I413" s="1248" t="s">
        <v>207</v>
      </c>
      <c r="J413" s="1253">
        <v>6.7</v>
      </c>
      <c r="K413" s="1248" t="s">
        <v>2837</v>
      </c>
    </row>
    <row r="414" spans="1:11" s="1234" customFormat="1" ht="25.5">
      <c r="A414" s="1248">
        <v>43</v>
      </c>
      <c r="B414" s="1252" t="s">
        <v>2509</v>
      </c>
      <c r="C414" s="1250">
        <v>49</v>
      </c>
      <c r="D414" s="1248" t="s">
        <v>207</v>
      </c>
      <c r="E414" s="1250">
        <v>4.9000000000000004</v>
      </c>
      <c r="F414" s="1251" t="s">
        <v>2031</v>
      </c>
      <c r="G414" s="1252" t="s">
        <v>2509</v>
      </c>
      <c r="H414" s="1253">
        <v>49</v>
      </c>
      <c r="I414" s="1248" t="s">
        <v>207</v>
      </c>
      <c r="J414" s="1253">
        <v>4.9000000000000004</v>
      </c>
      <c r="K414" s="1248" t="s">
        <v>2837</v>
      </c>
    </row>
    <row r="415" spans="1:11" s="1234" customFormat="1" ht="25.5">
      <c r="A415" s="1248">
        <v>44</v>
      </c>
      <c r="B415" s="1252" t="s">
        <v>2510</v>
      </c>
      <c r="C415" s="1250">
        <v>80</v>
      </c>
      <c r="D415" s="1248" t="s">
        <v>207</v>
      </c>
      <c r="E415" s="1250">
        <v>8</v>
      </c>
      <c r="F415" s="1251" t="s">
        <v>2031</v>
      </c>
      <c r="G415" s="1252" t="s">
        <v>2510</v>
      </c>
      <c r="H415" s="1253">
        <v>80</v>
      </c>
      <c r="I415" s="1248" t="s">
        <v>207</v>
      </c>
      <c r="J415" s="1253">
        <v>8</v>
      </c>
      <c r="K415" s="1248" t="s">
        <v>2837</v>
      </c>
    </row>
    <row r="416" spans="1:11" s="1234" customFormat="1" ht="25.5">
      <c r="A416" s="1248">
        <v>45</v>
      </c>
      <c r="B416" s="1252" t="s">
        <v>2511</v>
      </c>
      <c r="C416" s="1250">
        <v>50</v>
      </c>
      <c r="D416" s="1248" t="s">
        <v>207</v>
      </c>
      <c r="E416" s="1250">
        <v>5</v>
      </c>
      <c r="F416" s="1251" t="s">
        <v>2031</v>
      </c>
      <c r="G416" s="1252" t="s">
        <v>2511</v>
      </c>
      <c r="H416" s="1253">
        <v>50</v>
      </c>
      <c r="I416" s="1248" t="s">
        <v>207</v>
      </c>
      <c r="J416" s="1253">
        <v>5</v>
      </c>
      <c r="K416" s="1248" t="s">
        <v>2837</v>
      </c>
    </row>
    <row r="417" spans="1:11" s="1234" customFormat="1" ht="25.5">
      <c r="A417" s="1248">
        <v>46</v>
      </c>
      <c r="B417" s="1252" t="s">
        <v>2512</v>
      </c>
      <c r="C417" s="1250">
        <v>35</v>
      </c>
      <c r="D417" s="1248" t="s">
        <v>207</v>
      </c>
      <c r="E417" s="1250">
        <v>3.5</v>
      </c>
      <c r="F417" s="1251" t="s">
        <v>2031</v>
      </c>
      <c r="G417" s="1252" t="s">
        <v>2512</v>
      </c>
      <c r="H417" s="1253">
        <v>35</v>
      </c>
      <c r="I417" s="1248" t="s">
        <v>207</v>
      </c>
      <c r="J417" s="1253">
        <v>3.5</v>
      </c>
      <c r="K417" s="1248" t="s">
        <v>2837</v>
      </c>
    </row>
    <row r="418" spans="1:11" s="1234" customFormat="1" ht="25.5">
      <c r="A418" s="1248">
        <v>47</v>
      </c>
      <c r="B418" s="1252" t="s">
        <v>2513</v>
      </c>
      <c r="C418" s="1250">
        <v>50</v>
      </c>
      <c r="D418" s="1248" t="s">
        <v>207</v>
      </c>
      <c r="E418" s="1250">
        <v>5</v>
      </c>
      <c r="F418" s="1251" t="s">
        <v>2031</v>
      </c>
      <c r="G418" s="1252" t="s">
        <v>2513</v>
      </c>
      <c r="H418" s="1253">
        <v>50</v>
      </c>
      <c r="I418" s="1248" t="s">
        <v>207</v>
      </c>
      <c r="J418" s="1253">
        <v>5</v>
      </c>
      <c r="K418" s="1248" t="s">
        <v>2837</v>
      </c>
    </row>
    <row r="419" spans="1:11" s="1234" customFormat="1">
      <c r="A419" s="1248">
        <v>48</v>
      </c>
      <c r="B419" s="1252" t="s">
        <v>2514</v>
      </c>
      <c r="C419" s="1250">
        <v>130</v>
      </c>
      <c r="D419" s="1248" t="s">
        <v>207</v>
      </c>
      <c r="E419" s="1250">
        <v>13</v>
      </c>
      <c r="F419" s="1251" t="s">
        <v>2031</v>
      </c>
      <c r="G419" s="1252" t="s">
        <v>2514</v>
      </c>
      <c r="H419" s="1253">
        <v>130</v>
      </c>
      <c r="I419" s="1248" t="s">
        <v>207</v>
      </c>
      <c r="J419" s="1253">
        <v>13</v>
      </c>
      <c r="K419" s="1248" t="s">
        <v>2837</v>
      </c>
    </row>
    <row r="420" spans="1:11" s="1234" customFormat="1" ht="25.5">
      <c r="A420" s="1248">
        <v>49</v>
      </c>
      <c r="B420" s="1252" t="s">
        <v>2515</v>
      </c>
      <c r="C420" s="1250">
        <v>50</v>
      </c>
      <c r="D420" s="1248" t="s">
        <v>207</v>
      </c>
      <c r="E420" s="1250">
        <v>5</v>
      </c>
      <c r="F420" s="1251" t="s">
        <v>2031</v>
      </c>
      <c r="G420" s="1252" t="s">
        <v>2515</v>
      </c>
      <c r="H420" s="1253">
        <v>50</v>
      </c>
      <c r="I420" s="1248" t="s">
        <v>207</v>
      </c>
      <c r="J420" s="1253">
        <v>5</v>
      </c>
      <c r="K420" s="1248" t="s">
        <v>2837</v>
      </c>
    </row>
    <row r="421" spans="1:11" s="1234" customFormat="1" ht="25.5">
      <c r="A421" s="1248">
        <v>50</v>
      </c>
      <c r="B421" s="1252" t="s">
        <v>2516</v>
      </c>
      <c r="C421" s="1250">
        <v>50</v>
      </c>
      <c r="D421" s="1248" t="s">
        <v>207</v>
      </c>
      <c r="E421" s="1250">
        <v>5</v>
      </c>
      <c r="F421" s="1251" t="s">
        <v>2031</v>
      </c>
      <c r="G421" s="1252" t="s">
        <v>2516</v>
      </c>
      <c r="H421" s="1253">
        <v>50</v>
      </c>
      <c r="I421" s="1248" t="s">
        <v>207</v>
      </c>
      <c r="J421" s="1253">
        <v>5</v>
      </c>
      <c r="K421" s="1248" t="s">
        <v>2837</v>
      </c>
    </row>
    <row r="422" spans="1:11" s="1234" customFormat="1" ht="25.5">
      <c r="A422" s="1248">
        <v>51</v>
      </c>
      <c r="B422" s="1252" t="s">
        <v>2517</v>
      </c>
      <c r="C422" s="1250">
        <v>35</v>
      </c>
      <c r="D422" s="1248" t="s">
        <v>207</v>
      </c>
      <c r="E422" s="1250">
        <v>3.5</v>
      </c>
      <c r="F422" s="1251" t="s">
        <v>2031</v>
      </c>
      <c r="G422" s="1252"/>
      <c r="H422" s="1253"/>
      <c r="I422" s="1248"/>
      <c r="J422" s="1253"/>
      <c r="K422" s="1248" t="s">
        <v>2838</v>
      </c>
    </row>
    <row r="423" spans="1:11" s="1234" customFormat="1" ht="25.5">
      <c r="A423" s="1248">
        <v>52</v>
      </c>
      <c r="B423" s="1252" t="s">
        <v>2518</v>
      </c>
      <c r="C423" s="1250">
        <v>85</v>
      </c>
      <c r="D423" s="1248" t="s">
        <v>207</v>
      </c>
      <c r="E423" s="1250">
        <v>8.5</v>
      </c>
      <c r="F423" s="1251" t="s">
        <v>2031</v>
      </c>
      <c r="G423" s="1252" t="s">
        <v>2518</v>
      </c>
      <c r="H423" s="1253">
        <v>85</v>
      </c>
      <c r="I423" s="1248" t="s">
        <v>207</v>
      </c>
      <c r="J423" s="1253">
        <v>8.5</v>
      </c>
      <c r="K423" s="1248" t="s">
        <v>2837</v>
      </c>
    </row>
    <row r="424" spans="1:11" s="1234" customFormat="1" ht="25.5">
      <c r="A424" s="1248">
        <v>53</v>
      </c>
      <c r="B424" s="1252" t="s">
        <v>2519</v>
      </c>
      <c r="C424" s="1250">
        <v>30</v>
      </c>
      <c r="D424" s="1248" t="s">
        <v>207</v>
      </c>
      <c r="E424" s="1250">
        <v>3</v>
      </c>
      <c r="F424" s="1251" t="s">
        <v>2031</v>
      </c>
      <c r="G424" s="1252" t="s">
        <v>2519</v>
      </c>
      <c r="H424" s="1253">
        <v>30</v>
      </c>
      <c r="I424" s="1248" t="s">
        <v>207</v>
      </c>
      <c r="J424" s="1253">
        <v>3</v>
      </c>
      <c r="K424" s="1248" t="s">
        <v>2837</v>
      </c>
    </row>
    <row r="425" spans="1:11" s="1234" customFormat="1" ht="25.5">
      <c r="A425" s="1248">
        <v>54</v>
      </c>
      <c r="B425" s="1252" t="s">
        <v>2520</v>
      </c>
      <c r="C425" s="1250">
        <v>90</v>
      </c>
      <c r="D425" s="1248" t="s">
        <v>207</v>
      </c>
      <c r="E425" s="1250">
        <v>9</v>
      </c>
      <c r="F425" s="1251" t="s">
        <v>2031</v>
      </c>
      <c r="G425" s="1252" t="s">
        <v>2520</v>
      </c>
      <c r="H425" s="1253">
        <v>90</v>
      </c>
      <c r="I425" s="1248" t="s">
        <v>207</v>
      </c>
      <c r="J425" s="1253">
        <v>9</v>
      </c>
      <c r="K425" s="1248" t="s">
        <v>2837</v>
      </c>
    </row>
    <row r="426" spans="1:11" s="1234" customFormat="1">
      <c r="A426" s="1248">
        <v>55</v>
      </c>
      <c r="B426" s="1252" t="s">
        <v>2521</v>
      </c>
      <c r="C426" s="1250">
        <v>34</v>
      </c>
      <c r="D426" s="1248" t="s">
        <v>207</v>
      </c>
      <c r="E426" s="1250">
        <v>3.4</v>
      </c>
      <c r="F426" s="1251" t="s">
        <v>2031</v>
      </c>
      <c r="G426" s="1252" t="s">
        <v>2521</v>
      </c>
      <c r="H426" s="1253">
        <v>34</v>
      </c>
      <c r="I426" s="1248" t="s">
        <v>207</v>
      </c>
      <c r="J426" s="1253">
        <v>3.4</v>
      </c>
      <c r="K426" s="1248" t="s">
        <v>2837</v>
      </c>
    </row>
    <row r="427" spans="1:11" s="1234" customFormat="1" ht="25.5">
      <c r="A427" s="1248">
        <v>56</v>
      </c>
      <c r="B427" s="1252" t="s">
        <v>2522</v>
      </c>
      <c r="C427" s="1250">
        <v>80</v>
      </c>
      <c r="D427" s="1248" t="s">
        <v>207</v>
      </c>
      <c r="E427" s="1250">
        <v>8</v>
      </c>
      <c r="F427" s="1251" t="s">
        <v>2031</v>
      </c>
      <c r="G427" s="1252"/>
      <c r="H427" s="1253"/>
      <c r="I427" s="1248"/>
      <c r="J427" s="1253"/>
      <c r="K427" s="1248" t="s">
        <v>2838</v>
      </c>
    </row>
    <row r="428" spans="1:11" s="1234" customFormat="1">
      <c r="A428" s="1248">
        <v>57</v>
      </c>
      <c r="B428" s="1252" t="s">
        <v>2523</v>
      </c>
      <c r="C428" s="1250">
        <v>25</v>
      </c>
      <c r="D428" s="1248" t="s">
        <v>207</v>
      </c>
      <c r="E428" s="1250">
        <v>2.5</v>
      </c>
      <c r="F428" s="1251" t="s">
        <v>2031</v>
      </c>
      <c r="G428" s="1252" t="s">
        <v>2523</v>
      </c>
      <c r="H428" s="1253">
        <v>25</v>
      </c>
      <c r="I428" s="1248" t="s">
        <v>207</v>
      </c>
      <c r="J428" s="1253">
        <v>2.5</v>
      </c>
      <c r="K428" s="1248" t="s">
        <v>2837</v>
      </c>
    </row>
    <row r="429" spans="1:11" s="1234" customFormat="1">
      <c r="A429" s="1248">
        <v>58</v>
      </c>
      <c r="B429" s="1252" t="s">
        <v>2524</v>
      </c>
      <c r="C429" s="1250">
        <v>50</v>
      </c>
      <c r="D429" s="1248" t="s">
        <v>207</v>
      </c>
      <c r="E429" s="1250">
        <v>5</v>
      </c>
      <c r="F429" s="1251" t="s">
        <v>2031</v>
      </c>
      <c r="G429" s="1252" t="s">
        <v>2524</v>
      </c>
      <c r="H429" s="1253">
        <v>50</v>
      </c>
      <c r="I429" s="1248" t="s">
        <v>207</v>
      </c>
      <c r="J429" s="1253">
        <v>5</v>
      </c>
      <c r="K429" s="1248" t="s">
        <v>2837</v>
      </c>
    </row>
    <row r="430" spans="1:11" s="1234" customFormat="1">
      <c r="A430" s="1248">
        <v>59</v>
      </c>
      <c r="B430" s="1252" t="s">
        <v>2525</v>
      </c>
      <c r="C430" s="1250">
        <v>52</v>
      </c>
      <c r="D430" s="1248" t="s">
        <v>207</v>
      </c>
      <c r="E430" s="1250">
        <v>5.2</v>
      </c>
      <c r="F430" s="1251" t="s">
        <v>2031</v>
      </c>
      <c r="G430" s="1252" t="s">
        <v>2525</v>
      </c>
      <c r="H430" s="1253">
        <v>52</v>
      </c>
      <c r="I430" s="1248" t="s">
        <v>207</v>
      </c>
      <c r="J430" s="1253">
        <v>5.2</v>
      </c>
      <c r="K430" s="1248" t="s">
        <v>2837</v>
      </c>
    </row>
    <row r="431" spans="1:11" s="1234" customFormat="1" ht="25.5">
      <c r="A431" s="1248">
        <v>60</v>
      </c>
      <c r="B431" s="1252" t="s">
        <v>2526</v>
      </c>
      <c r="C431" s="1250">
        <v>55</v>
      </c>
      <c r="D431" s="1248" t="s">
        <v>207</v>
      </c>
      <c r="E431" s="1250">
        <v>5.5</v>
      </c>
      <c r="F431" s="1251" t="s">
        <v>2031</v>
      </c>
      <c r="G431" s="1252" t="s">
        <v>2526</v>
      </c>
      <c r="H431" s="1253">
        <v>55</v>
      </c>
      <c r="I431" s="1248" t="s">
        <v>207</v>
      </c>
      <c r="J431" s="1253">
        <v>5.5</v>
      </c>
      <c r="K431" s="1248" t="s">
        <v>2837</v>
      </c>
    </row>
    <row r="432" spans="1:11" s="1234" customFormat="1" ht="25.5">
      <c r="A432" s="1248">
        <v>61</v>
      </c>
      <c r="B432" s="1252" t="s">
        <v>2527</v>
      </c>
      <c r="C432" s="1250">
        <v>45</v>
      </c>
      <c r="D432" s="1248" t="s">
        <v>207</v>
      </c>
      <c r="E432" s="1250">
        <v>4.5</v>
      </c>
      <c r="F432" s="1251" t="s">
        <v>2031</v>
      </c>
      <c r="G432" s="1252" t="s">
        <v>2527</v>
      </c>
      <c r="H432" s="1253">
        <v>45</v>
      </c>
      <c r="I432" s="1248" t="s">
        <v>207</v>
      </c>
      <c r="J432" s="1253">
        <v>4.5</v>
      </c>
      <c r="K432" s="1248" t="s">
        <v>2837</v>
      </c>
    </row>
    <row r="433" spans="1:11" s="1234" customFormat="1" ht="25.5">
      <c r="A433" s="1248">
        <v>62</v>
      </c>
      <c r="B433" s="1252" t="s">
        <v>2528</v>
      </c>
      <c r="C433" s="1250">
        <v>32</v>
      </c>
      <c r="D433" s="1248" t="s">
        <v>207</v>
      </c>
      <c r="E433" s="1250">
        <v>3.2</v>
      </c>
      <c r="F433" s="1251" t="s">
        <v>2031</v>
      </c>
      <c r="G433" s="1252"/>
      <c r="H433" s="1253"/>
      <c r="I433" s="1248"/>
      <c r="J433" s="1253"/>
      <c r="K433" s="1248" t="s">
        <v>2838</v>
      </c>
    </row>
    <row r="434" spans="1:11" s="1234" customFormat="1">
      <c r="A434" s="1248">
        <v>63</v>
      </c>
      <c r="B434" s="1252" t="s">
        <v>2529</v>
      </c>
      <c r="C434" s="1250">
        <v>60</v>
      </c>
      <c r="D434" s="1248" t="s">
        <v>207</v>
      </c>
      <c r="E434" s="1250">
        <v>6</v>
      </c>
      <c r="F434" s="1251" t="s">
        <v>2031</v>
      </c>
      <c r="G434" s="1252" t="s">
        <v>2529</v>
      </c>
      <c r="H434" s="1253">
        <v>60</v>
      </c>
      <c r="I434" s="1248" t="s">
        <v>207</v>
      </c>
      <c r="J434" s="1253">
        <v>6</v>
      </c>
      <c r="K434" s="1248" t="s">
        <v>2837</v>
      </c>
    </row>
    <row r="435" spans="1:11" s="1234" customFormat="1" ht="25.5">
      <c r="A435" s="1248">
        <v>64</v>
      </c>
      <c r="B435" s="1252" t="s">
        <v>2530</v>
      </c>
      <c r="C435" s="1250">
        <v>35</v>
      </c>
      <c r="D435" s="1248" t="s">
        <v>207</v>
      </c>
      <c r="E435" s="1250">
        <v>3.5</v>
      </c>
      <c r="F435" s="1251" t="s">
        <v>2031</v>
      </c>
      <c r="G435" s="1252" t="s">
        <v>2530</v>
      </c>
      <c r="H435" s="1253">
        <v>35</v>
      </c>
      <c r="I435" s="1248" t="s">
        <v>207</v>
      </c>
      <c r="J435" s="1253">
        <v>3.5</v>
      </c>
      <c r="K435" s="1248" t="s">
        <v>2837</v>
      </c>
    </row>
    <row r="436" spans="1:11" s="1234" customFormat="1" ht="25.5">
      <c r="A436" s="1248">
        <v>65</v>
      </c>
      <c r="B436" s="1252" t="s">
        <v>2531</v>
      </c>
      <c r="C436" s="1250">
        <v>34</v>
      </c>
      <c r="D436" s="1248" t="s">
        <v>207</v>
      </c>
      <c r="E436" s="1250">
        <v>3.4</v>
      </c>
      <c r="F436" s="1251" t="s">
        <v>2031</v>
      </c>
      <c r="G436" s="1252" t="s">
        <v>2531</v>
      </c>
      <c r="H436" s="1253">
        <v>34</v>
      </c>
      <c r="I436" s="1248" t="s">
        <v>207</v>
      </c>
      <c r="J436" s="1253">
        <v>3.4</v>
      </c>
      <c r="K436" s="1248" t="s">
        <v>2837</v>
      </c>
    </row>
    <row r="437" spans="1:11" s="1234" customFormat="1">
      <c r="A437" s="1248">
        <v>66</v>
      </c>
      <c r="B437" s="1252" t="s">
        <v>2532</v>
      </c>
      <c r="C437" s="1250">
        <v>100</v>
      </c>
      <c r="D437" s="1248" t="s">
        <v>207</v>
      </c>
      <c r="E437" s="1250">
        <v>10</v>
      </c>
      <c r="F437" s="1251" t="s">
        <v>2031</v>
      </c>
      <c r="G437" s="1252" t="s">
        <v>2532</v>
      </c>
      <c r="H437" s="1253">
        <v>100</v>
      </c>
      <c r="I437" s="1248" t="s">
        <v>207</v>
      </c>
      <c r="J437" s="1253">
        <v>10</v>
      </c>
      <c r="K437" s="1248" t="s">
        <v>2837</v>
      </c>
    </row>
    <row r="438" spans="1:11" s="1234" customFormat="1" ht="25.5">
      <c r="A438" s="1248">
        <v>67</v>
      </c>
      <c r="B438" s="1252" t="s">
        <v>2533</v>
      </c>
      <c r="C438" s="1250">
        <v>60</v>
      </c>
      <c r="D438" s="1248" t="s">
        <v>207</v>
      </c>
      <c r="E438" s="1250">
        <v>6</v>
      </c>
      <c r="F438" s="1251" t="s">
        <v>2031</v>
      </c>
      <c r="G438" s="1252" t="s">
        <v>2533</v>
      </c>
      <c r="H438" s="1253">
        <v>60</v>
      </c>
      <c r="I438" s="1248" t="s">
        <v>207</v>
      </c>
      <c r="J438" s="1253">
        <v>6</v>
      </c>
      <c r="K438" s="1248" t="s">
        <v>2837</v>
      </c>
    </row>
    <row r="439" spans="1:11" s="1234" customFormat="1">
      <c r="A439" s="1248">
        <v>68</v>
      </c>
      <c r="B439" s="1252" t="s">
        <v>2534</v>
      </c>
      <c r="C439" s="1250">
        <v>51</v>
      </c>
      <c r="D439" s="1248" t="s">
        <v>207</v>
      </c>
      <c r="E439" s="1250">
        <v>5.0999999999999996</v>
      </c>
      <c r="F439" s="1251" t="s">
        <v>2031</v>
      </c>
      <c r="G439" s="1252" t="s">
        <v>2534</v>
      </c>
      <c r="H439" s="1253">
        <v>51</v>
      </c>
      <c r="I439" s="1248" t="s">
        <v>207</v>
      </c>
      <c r="J439" s="1253">
        <v>5.0999999999999996</v>
      </c>
      <c r="K439" s="1248" t="s">
        <v>2837</v>
      </c>
    </row>
    <row r="440" spans="1:11" s="1234" customFormat="1">
      <c r="A440" s="1248">
        <v>69</v>
      </c>
      <c r="B440" s="1252" t="s">
        <v>2535</v>
      </c>
      <c r="C440" s="1250">
        <v>110</v>
      </c>
      <c r="D440" s="1248" t="s">
        <v>207</v>
      </c>
      <c r="E440" s="1250">
        <v>11</v>
      </c>
      <c r="F440" s="1251" t="s">
        <v>2031</v>
      </c>
      <c r="G440" s="1252" t="s">
        <v>2535</v>
      </c>
      <c r="H440" s="1253">
        <v>110</v>
      </c>
      <c r="I440" s="1248" t="s">
        <v>207</v>
      </c>
      <c r="J440" s="1253">
        <v>11</v>
      </c>
      <c r="K440" s="1248" t="s">
        <v>2837</v>
      </c>
    </row>
    <row r="441" spans="1:11" s="1234" customFormat="1" ht="25.5">
      <c r="A441" s="1248">
        <v>70</v>
      </c>
      <c r="B441" s="1252" t="s">
        <v>2536</v>
      </c>
      <c r="C441" s="1250">
        <v>105</v>
      </c>
      <c r="D441" s="1248" t="s">
        <v>207</v>
      </c>
      <c r="E441" s="1250">
        <v>10.5</v>
      </c>
      <c r="F441" s="1251" t="s">
        <v>2031</v>
      </c>
      <c r="G441" s="1252" t="s">
        <v>2536</v>
      </c>
      <c r="H441" s="1253">
        <v>105</v>
      </c>
      <c r="I441" s="1248" t="s">
        <v>207</v>
      </c>
      <c r="J441" s="1253">
        <v>10.5</v>
      </c>
      <c r="K441" s="1248" t="s">
        <v>2837</v>
      </c>
    </row>
    <row r="442" spans="1:11" s="1234" customFormat="1" ht="25.5">
      <c r="A442" s="1248">
        <v>71</v>
      </c>
      <c r="B442" s="1252" t="s">
        <v>2537</v>
      </c>
      <c r="C442" s="1250">
        <v>150</v>
      </c>
      <c r="D442" s="1248" t="s">
        <v>207</v>
      </c>
      <c r="E442" s="1250">
        <v>15</v>
      </c>
      <c r="F442" s="1251" t="s">
        <v>2031</v>
      </c>
      <c r="G442" s="1252" t="s">
        <v>2537</v>
      </c>
      <c r="H442" s="1253">
        <v>150</v>
      </c>
      <c r="I442" s="1248" t="s">
        <v>207</v>
      </c>
      <c r="J442" s="1253">
        <v>15</v>
      </c>
      <c r="K442" s="1248" t="s">
        <v>2837</v>
      </c>
    </row>
    <row r="443" spans="1:11" s="1234" customFormat="1" ht="25.5">
      <c r="A443" s="1248">
        <v>72</v>
      </c>
      <c r="B443" s="1252" t="s">
        <v>2538</v>
      </c>
      <c r="C443" s="1250">
        <v>120</v>
      </c>
      <c r="D443" s="1248" t="s">
        <v>207</v>
      </c>
      <c r="E443" s="1250">
        <v>12</v>
      </c>
      <c r="F443" s="1251" t="s">
        <v>2031</v>
      </c>
      <c r="G443" s="1252" t="s">
        <v>2538</v>
      </c>
      <c r="H443" s="1253">
        <v>120</v>
      </c>
      <c r="I443" s="1248" t="s">
        <v>207</v>
      </c>
      <c r="J443" s="1253">
        <v>12</v>
      </c>
      <c r="K443" s="1248" t="s">
        <v>2837</v>
      </c>
    </row>
    <row r="444" spans="1:11" s="1234" customFormat="1" ht="25.5">
      <c r="A444" s="1248">
        <v>73</v>
      </c>
      <c r="B444" s="1252" t="s">
        <v>2539</v>
      </c>
      <c r="C444" s="1250">
        <v>130</v>
      </c>
      <c r="D444" s="1248" t="s">
        <v>207</v>
      </c>
      <c r="E444" s="1250">
        <v>13</v>
      </c>
      <c r="F444" s="1251" t="s">
        <v>2031</v>
      </c>
      <c r="G444" s="1252" t="s">
        <v>2539</v>
      </c>
      <c r="H444" s="1253">
        <v>130</v>
      </c>
      <c r="I444" s="1248" t="s">
        <v>207</v>
      </c>
      <c r="J444" s="1253">
        <v>13</v>
      </c>
      <c r="K444" s="1248" t="s">
        <v>2837</v>
      </c>
    </row>
    <row r="445" spans="1:11" s="1234" customFormat="1" ht="25.5">
      <c r="A445" s="1248">
        <v>74</v>
      </c>
      <c r="B445" s="1252" t="s">
        <v>2540</v>
      </c>
      <c r="C445" s="1250">
        <v>115</v>
      </c>
      <c r="D445" s="1248" t="s">
        <v>207</v>
      </c>
      <c r="E445" s="1250">
        <v>11.5</v>
      </c>
      <c r="F445" s="1251" t="s">
        <v>2031</v>
      </c>
      <c r="G445" s="1252" t="s">
        <v>2540</v>
      </c>
      <c r="H445" s="1253">
        <v>115</v>
      </c>
      <c r="I445" s="1248" t="s">
        <v>207</v>
      </c>
      <c r="J445" s="1253">
        <v>11.5</v>
      </c>
      <c r="K445" s="1248" t="s">
        <v>2837</v>
      </c>
    </row>
    <row r="446" spans="1:11" s="1234" customFormat="1" ht="25.5">
      <c r="A446" s="1248">
        <v>75</v>
      </c>
      <c r="B446" s="1252" t="s">
        <v>2541</v>
      </c>
      <c r="C446" s="1250">
        <v>80</v>
      </c>
      <c r="D446" s="1248" t="s">
        <v>207</v>
      </c>
      <c r="E446" s="1250">
        <v>8</v>
      </c>
      <c r="F446" s="1251" t="s">
        <v>2031</v>
      </c>
      <c r="G446" s="1252" t="s">
        <v>2541</v>
      </c>
      <c r="H446" s="1253">
        <v>80</v>
      </c>
      <c r="I446" s="1248" t="s">
        <v>207</v>
      </c>
      <c r="J446" s="1253">
        <v>8</v>
      </c>
      <c r="K446" s="1248" t="s">
        <v>2837</v>
      </c>
    </row>
    <row r="447" spans="1:11" s="1234" customFormat="1" ht="25.5">
      <c r="A447" s="1248">
        <v>76</v>
      </c>
      <c r="B447" s="1252" t="s">
        <v>2542</v>
      </c>
      <c r="C447" s="1250">
        <v>70</v>
      </c>
      <c r="D447" s="1248" t="s">
        <v>207</v>
      </c>
      <c r="E447" s="1250">
        <v>7</v>
      </c>
      <c r="F447" s="1251" t="s">
        <v>2031</v>
      </c>
      <c r="G447" s="1252" t="s">
        <v>2542</v>
      </c>
      <c r="H447" s="1253">
        <v>70</v>
      </c>
      <c r="I447" s="1248" t="s">
        <v>207</v>
      </c>
      <c r="J447" s="1253">
        <v>7</v>
      </c>
      <c r="K447" s="1248" t="s">
        <v>2837</v>
      </c>
    </row>
    <row r="448" spans="1:11" s="1234" customFormat="1" ht="25.5">
      <c r="A448" s="1248">
        <v>77</v>
      </c>
      <c r="B448" s="1252" t="s">
        <v>2543</v>
      </c>
      <c r="C448" s="1250">
        <v>70</v>
      </c>
      <c r="D448" s="1248" t="s">
        <v>207</v>
      </c>
      <c r="E448" s="1250">
        <v>7</v>
      </c>
      <c r="F448" s="1251" t="s">
        <v>2031</v>
      </c>
      <c r="G448" s="1252" t="s">
        <v>2543</v>
      </c>
      <c r="H448" s="1253">
        <v>70</v>
      </c>
      <c r="I448" s="1248" t="s">
        <v>207</v>
      </c>
      <c r="J448" s="1253">
        <v>7</v>
      </c>
      <c r="K448" s="1248" t="s">
        <v>2837</v>
      </c>
    </row>
    <row r="449" spans="1:11" s="1234" customFormat="1" ht="25.5">
      <c r="A449" s="1248">
        <v>78</v>
      </c>
      <c r="B449" s="1252" t="s">
        <v>2544</v>
      </c>
      <c r="C449" s="1250">
        <v>120</v>
      </c>
      <c r="D449" s="1248" t="s">
        <v>207</v>
      </c>
      <c r="E449" s="1250">
        <v>12</v>
      </c>
      <c r="F449" s="1251" t="s">
        <v>2031</v>
      </c>
      <c r="G449" s="1252" t="s">
        <v>2544</v>
      </c>
      <c r="H449" s="1253">
        <v>120</v>
      </c>
      <c r="I449" s="1248" t="s">
        <v>207</v>
      </c>
      <c r="J449" s="1253">
        <v>12</v>
      </c>
      <c r="K449" s="1248" t="s">
        <v>2837</v>
      </c>
    </row>
    <row r="450" spans="1:11" s="1234" customFormat="1" ht="25.5">
      <c r="A450" s="1248">
        <v>79</v>
      </c>
      <c r="B450" s="1252"/>
      <c r="C450" s="1250"/>
      <c r="D450" s="1248"/>
      <c r="E450" s="1250"/>
      <c r="F450" s="1251"/>
      <c r="G450" s="1252" t="s">
        <v>2855</v>
      </c>
      <c r="H450" s="1253">
        <v>180</v>
      </c>
      <c r="I450" s="1248" t="s">
        <v>207</v>
      </c>
      <c r="J450" s="1253">
        <v>18</v>
      </c>
      <c r="K450" s="1248" t="s">
        <v>2836</v>
      </c>
    </row>
    <row r="451" spans="1:11" s="1234" customFormat="1" ht="25.5">
      <c r="A451" s="1248">
        <v>80</v>
      </c>
      <c r="B451" s="1252"/>
      <c r="C451" s="1250"/>
      <c r="D451" s="1248"/>
      <c r="E451" s="1250"/>
      <c r="F451" s="1251"/>
      <c r="G451" s="1252" t="s">
        <v>2472</v>
      </c>
      <c r="H451" s="1253">
        <v>43</v>
      </c>
      <c r="I451" s="1248" t="s">
        <v>207</v>
      </c>
      <c r="J451" s="1253">
        <v>4.3</v>
      </c>
      <c r="K451" s="1248" t="s">
        <v>2836</v>
      </c>
    </row>
    <row r="452" spans="1:11" s="1234" customFormat="1">
      <c r="A452" s="1248">
        <v>81</v>
      </c>
      <c r="B452" s="1252"/>
      <c r="C452" s="1250"/>
      <c r="D452" s="1248"/>
      <c r="E452" s="1250"/>
      <c r="F452" s="1251"/>
      <c r="G452" s="1252" t="s">
        <v>2856</v>
      </c>
      <c r="H452" s="1253">
        <v>65</v>
      </c>
      <c r="I452" s="1248" t="s">
        <v>207</v>
      </c>
      <c r="J452" s="1253">
        <v>6.5</v>
      </c>
      <c r="K452" s="1248" t="s">
        <v>2836</v>
      </c>
    </row>
    <row r="453" spans="1:11" s="1234" customFormat="1" ht="25.5">
      <c r="A453" s="1248">
        <v>82</v>
      </c>
      <c r="B453" s="1252"/>
      <c r="C453" s="1250"/>
      <c r="D453" s="1248"/>
      <c r="E453" s="1250"/>
      <c r="F453" s="1251"/>
      <c r="G453" s="1252" t="s">
        <v>2857</v>
      </c>
      <c r="H453" s="1253">
        <v>89</v>
      </c>
      <c r="I453" s="1248" t="s">
        <v>207</v>
      </c>
      <c r="J453" s="1253">
        <v>8.9</v>
      </c>
      <c r="K453" s="1248" t="s">
        <v>2836</v>
      </c>
    </row>
    <row r="454" spans="1:11" s="1234" customFormat="1">
      <c r="A454" s="1248">
        <v>83</v>
      </c>
      <c r="B454" s="1252"/>
      <c r="C454" s="1250"/>
      <c r="D454" s="1248"/>
      <c r="E454" s="1250"/>
      <c r="F454" s="1251"/>
      <c r="G454" s="1252" t="s">
        <v>2858</v>
      </c>
      <c r="H454" s="1253">
        <v>110</v>
      </c>
      <c r="I454" s="1248" t="s">
        <v>207</v>
      </c>
      <c r="J454" s="1253">
        <v>11</v>
      </c>
      <c r="K454" s="1248" t="s">
        <v>2836</v>
      </c>
    </row>
    <row r="455" spans="1:11" s="1234" customFormat="1">
      <c r="A455" s="1248">
        <v>84</v>
      </c>
      <c r="B455" s="1252"/>
      <c r="C455" s="1250"/>
      <c r="D455" s="1248"/>
      <c r="E455" s="1250"/>
      <c r="F455" s="1251"/>
      <c r="G455" s="1252" t="s">
        <v>2859</v>
      </c>
      <c r="H455" s="1253">
        <v>70</v>
      </c>
      <c r="I455" s="1248" t="s">
        <v>207</v>
      </c>
      <c r="J455" s="1253">
        <v>7</v>
      </c>
      <c r="K455" s="1248" t="s">
        <v>2836</v>
      </c>
    </row>
    <row r="456" spans="1:11" s="1234" customFormat="1">
      <c r="A456" s="1248">
        <v>85</v>
      </c>
      <c r="B456" s="1252"/>
      <c r="C456" s="1250"/>
      <c r="D456" s="1248"/>
      <c r="E456" s="1250"/>
      <c r="F456" s="1251"/>
      <c r="G456" s="1252" t="s">
        <v>2860</v>
      </c>
      <c r="H456" s="1253">
        <v>420</v>
      </c>
      <c r="I456" s="1248" t="s">
        <v>207</v>
      </c>
      <c r="J456" s="1253">
        <v>42</v>
      </c>
      <c r="K456" s="1248" t="s">
        <v>2836</v>
      </c>
    </row>
    <row r="457" spans="1:11" s="1234" customFormat="1" ht="25.5">
      <c r="A457" s="1248">
        <v>86</v>
      </c>
      <c r="B457" s="1252"/>
      <c r="C457" s="1250"/>
      <c r="D457" s="1248"/>
      <c r="E457" s="1250"/>
      <c r="F457" s="1251"/>
      <c r="G457" s="1252" t="s">
        <v>2861</v>
      </c>
      <c r="H457" s="1253">
        <v>40</v>
      </c>
      <c r="I457" s="1248" t="s">
        <v>207</v>
      </c>
      <c r="J457" s="1253">
        <v>4</v>
      </c>
      <c r="K457" s="1248" t="s">
        <v>2836</v>
      </c>
    </row>
    <row r="458" spans="1:11" s="1234" customFormat="1">
      <c r="A458" s="1248">
        <v>87</v>
      </c>
      <c r="B458" s="1252"/>
      <c r="C458" s="1250"/>
      <c r="D458" s="1248"/>
      <c r="E458" s="1250"/>
      <c r="F458" s="1251"/>
      <c r="G458" s="1252" t="s">
        <v>2862</v>
      </c>
      <c r="H458" s="1253">
        <v>116</v>
      </c>
      <c r="I458" s="1248" t="s">
        <v>207</v>
      </c>
      <c r="J458" s="1253">
        <v>11.6</v>
      </c>
      <c r="K458" s="1248" t="s">
        <v>2836</v>
      </c>
    </row>
    <row r="459" spans="1:11" s="1234" customFormat="1">
      <c r="A459" s="1248">
        <v>88</v>
      </c>
      <c r="B459" s="1252"/>
      <c r="C459" s="1250"/>
      <c r="D459" s="1248"/>
      <c r="E459" s="1250"/>
      <c r="F459" s="1251"/>
      <c r="G459" s="1252" t="s">
        <v>2863</v>
      </c>
      <c r="H459" s="1253">
        <v>97</v>
      </c>
      <c r="I459" s="1248" t="s">
        <v>207</v>
      </c>
      <c r="J459" s="1253">
        <v>9.6999999999999993</v>
      </c>
      <c r="K459" s="1248" t="s">
        <v>2836</v>
      </c>
    </row>
    <row r="460" spans="1:11" s="1234" customFormat="1">
      <c r="A460" s="1248">
        <v>89</v>
      </c>
      <c r="B460" s="1252"/>
      <c r="C460" s="1250"/>
      <c r="D460" s="1248"/>
      <c r="E460" s="1250"/>
      <c r="F460" s="1251"/>
      <c r="G460" s="1252" t="s">
        <v>2864</v>
      </c>
      <c r="H460" s="1253">
        <v>86</v>
      </c>
      <c r="I460" s="1248" t="s">
        <v>207</v>
      </c>
      <c r="J460" s="1253">
        <v>8.6</v>
      </c>
      <c r="K460" s="1248" t="s">
        <v>2836</v>
      </c>
    </row>
    <row r="461" spans="1:11" s="1234" customFormat="1" ht="25.5">
      <c r="A461" s="1248">
        <v>90</v>
      </c>
      <c r="B461" s="1252"/>
      <c r="C461" s="1250"/>
      <c r="D461" s="1248"/>
      <c r="E461" s="1250"/>
      <c r="F461" s="1251"/>
      <c r="G461" s="1252" t="s">
        <v>2865</v>
      </c>
      <c r="H461" s="1253">
        <v>35</v>
      </c>
      <c r="I461" s="1248" t="s">
        <v>207</v>
      </c>
      <c r="J461" s="1253">
        <v>3.5</v>
      </c>
      <c r="K461" s="1248" t="s">
        <v>2836</v>
      </c>
    </row>
    <row r="462" spans="1:11" s="1234" customFormat="1" ht="25.5">
      <c r="A462" s="1248">
        <v>91</v>
      </c>
      <c r="B462" s="1252"/>
      <c r="C462" s="1250"/>
      <c r="D462" s="1248"/>
      <c r="E462" s="1250"/>
      <c r="F462" s="1251"/>
      <c r="G462" s="1252" t="s">
        <v>2866</v>
      </c>
      <c r="H462" s="1253">
        <v>60</v>
      </c>
      <c r="I462" s="1248" t="s">
        <v>207</v>
      </c>
      <c r="J462" s="1253">
        <v>6</v>
      </c>
      <c r="K462" s="1248" t="s">
        <v>2836</v>
      </c>
    </row>
    <row r="463" spans="1:11" s="1234" customFormat="1" ht="25.5">
      <c r="A463" s="1248">
        <v>92</v>
      </c>
      <c r="B463" s="1252"/>
      <c r="C463" s="1250"/>
      <c r="D463" s="1248"/>
      <c r="E463" s="1250"/>
      <c r="F463" s="1251"/>
      <c r="G463" s="1252" t="s">
        <v>2867</v>
      </c>
      <c r="H463" s="1253">
        <v>40</v>
      </c>
      <c r="I463" s="1248" t="s">
        <v>207</v>
      </c>
      <c r="J463" s="1253">
        <v>4</v>
      </c>
      <c r="K463" s="1248" t="s">
        <v>2836</v>
      </c>
    </row>
    <row r="464" spans="1:11" s="1234" customFormat="1" ht="25.5">
      <c r="A464" s="1248">
        <v>93</v>
      </c>
      <c r="B464" s="1252"/>
      <c r="C464" s="1250"/>
      <c r="D464" s="1248"/>
      <c r="E464" s="1250"/>
      <c r="F464" s="1251"/>
      <c r="G464" s="1252" t="s">
        <v>2868</v>
      </c>
      <c r="H464" s="1253">
        <v>40</v>
      </c>
      <c r="I464" s="1248" t="s">
        <v>207</v>
      </c>
      <c r="J464" s="1253">
        <v>4</v>
      </c>
      <c r="K464" s="1248" t="s">
        <v>2836</v>
      </c>
    </row>
    <row r="465" spans="1:11" s="1234" customFormat="1" ht="25.5">
      <c r="A465" s="1248">
        <v>94</v>
      </c>
      <c r="B465" s="1252"/>
      <c r="C465" s="1250"/>
      <c r="D465" s="1248"/>
      <c r="E465" s="1250"/>
      <c r="F465" s="1251"/>
      <c r="G465" s="1252" t="s">
        <v>2869</v>
      </c>
      <c r="H465" s="1253">
        <v>200</v>
      </c>
      <c r="I465" s="1248" t="s">
        <v>207</v>
      </c>
      <c r="J465" s="1253">
        <v>20</v>
      </c>
      <c r="K465" s="1248" t="s">
        <v>2836</v>
      </c>
    </row>
    <row r="466" spans="1:11" s="1234" customFormat="1">
      <c r="A466" s="1248">
        <v>95</v>
      </c>
      <c r="B466" s="1252"/>
      <c r="C466" s="1250"/>
      <c r="D466" s="1248"/>
      <c r="E466" s="1250"/>
      <c r="F466" s="1251"/>
      <c r="G466" s="1252" t="s">
        <v>2870</v>
      </c>
      <c r="H466" s="1253">
        <v>95</v>
      </c>
      <c r="I466" s="1248" t="s">
        <v>207</v>
      </c>
      <c r="J466" s="1253">
        <v>9.5</v>
      </c>
      <c r="K466" s="1248" t="s">
        <v>2836</v>
      </c>
    </row>
    <row r="467" spans="1:11" s="1234" customFormat="1">
      <c r="A467" s="1248">
        <v>96</v>
      </c>
      <c r="B467" s="1252"/>
      <c r="C467" s="1250"/>
      <c r="D467" s="1248"/>
      <c r="E467" s="1250"/>
      <c r="F467" s="1251"/>
      <c r="G467" s="1252" t="s">
        <v>2871</v>
      </c>
      <c r="H467" s="1253">
        <v>40</v>
      </c>
      <c r="I467" s="1248" t="s">
        <v>207</v>
      </c>
      <c r="J467" s="1253">
        <v>4</v>
      </c>
      <c r="K467" s="1248" t="s">
        <v>2836</v>
      </c>
    </row>
    <row r="468" spans="1:11" s="1234" customFormat="1">
      <c r="A468" s="1248">
        <v>97</v>
      </c>
      <c r="B468" s="1252"/>
      <c r="C468" s="1250"/>
      <c r="D468" s="1248"/>
      <c r="E468" s="1250"/>
      <c r="F468" s="1251"/>
      <c r="G468" s="1252" t="s">
        <v>2872</v>
      </c>
      <c r="H468" s="1253">
        <v>42</v>
      </c>
      <c r="I468" s="1248" t="s">
        <v>207</v>
      </c>
      <c r="J468" s="1253">
        <v>4.2</v>
      </c>
      <c r="K468" s="1248" t="s">
        <v>2836</v>
      </c>
    </row>
    <row r="469" spans="1:11" s="1234" customFormat="1">
      <c r="A469" s="1248">
        <v>98</v>
      </c>
      <c r="B469" s="1252"/>
      <c r="C469" s="1250"/>
      <c r="D469" s="1248"/>
      <c r="E469" s="1250"/>
      <c r="F469" s="1251"/>
      <c r="G469" s="1252" t="s">
        <v>2873</v>
      </c>
      <c r="H469" s="1253">
        <v>30</v>
      </c>
      <c r="I469" s="1248" t="s">
        <v>207</v>
      </c>
      <c r="J469" s="1253">
        <v>3</v>
      </c>
      <c r="K469" s="1248" t="s">
        <v>2836</v>
      </c>
    </row>
    <row r="470" spans="1:11" s="1234" customFormat="1">
      <c r="A470" s="1248">
        <v>99</v>
      </c>
      <c r="B470" s="1252"/>
      <c r="C470" s="1250"/>
      <c r="D470" s="1248"/>
      <c r="E470" s="1250"/>
      <c r="F470" s="1251"/>
      <c r="G470" s="1252" t="s">
        <v>2874</v>
      </c>
      <c r="H470" s="1253">
        <v>40</v>
      </c>
      <c r="I470" s="1248" t="s">
        <v>207</v>
      </c>
      <c r="J470" s="1253">
        <v>4</v>
      </c>
      <c r="K470" s="1248" t="s">
        <v>2836</v>
      </c>
    </row>
    <row r="471" spans="1:11" s="1234" customFormat="1">
      <c r="A471" s="1248">
        <v>100</v>
      </c>
      <c r="B471" s="1252"/>
      <c r="C471" s="1250"/>
      <c r="D471" s="1248"/>
      <c r="E471" s="1250"/>
      <c r="F471" s="1251"/>
      <c r="G471" s="1252" t="s">
        <v>2875</v>
      </c>
      <c r="H471" s="1253">
        <v>30</v>
      </c>
      <c r="I471" s="1248" t="s">
        <v>207</v>
      </c>
      <c r="J471" s="1253">
        <v>3</v>
      </c>
      <c r="K471" s="1248" t="s">
        <v>2836</v>
      </c>
    </row>
    <row r="472" spans="1:11" s="1234" customFormat="1" ht="25.5">
      <c r="A472" s="1248">
        <v>101</v>
      </c>
      <c r="B472" s="1252"/>
      <c r="C472" s="1250"/>
      <c r="D472" s="1248"/>
      <c r="E472" s="1250"/>
      <c r="F472" s="1251"/>
      <c r="G472" s="1252" t="s">
        <v>2876</v>
      </c>
      <c r="H472" s="1253">
        <v>140</v>
      </c>
      <c r="I472" s="1248" t="s">
        <v>207</v>
      </c>
      <c r="J472" s="1253">
        <v>14</v>
      </c>
      <c r="K472" s="1248" t="s">
        <v>2836</v>
      </c>
    </row>
    <row r="473" spans="1:11" s="1234" customFormat="1">
      <c r="A473" s="1248">
        <v>102</v>
      </c>
      <c r="B473" s="1252"/>
      <c r="C473" s="1250"/>
      <c r="D473" s="1248"/>
      <c r="E473" s="1250"/>
      <c r="F473" s="1251"/>
      <c r="G473" s="1252" t="s">
        <v>2877</v>
      </c>
      <c r="H473" s="1253">
        <v>23</v>
      </c>
      <c r="I473" s="1248" t="s">
        <v>207</v>
      </c>
      <c r="J473" s="1253">
        <v>2.2999999999999998</v>
      </c>
      <c r="K473" s="1248" t="s">
        <v>2836</v>
      </c>
    </row>
    <row r="474" spans="1:11" s="1234" customFormat="1">
      <c r="A474" s="1248">
        <v>103</v>
      </c>
      <c r="B474" s="1252"/>
      <c r="C474" s="1250"/>
      <c r="D474" s="1248"/>
      <c r="E474" s="1250"/>
      <c r="F474" s="1251"/>
      <c r="G474" s="1252" t="s">
        <v>2878</v>
      </c>
      <c r="H474" s="1253">
        <v>90</v>
      </c>
      <c r="I474" s="1248" t="s">
        <v>207</v>
      </c>
      <c r="J474" s="1253">
        <v>9</v>
      </c>
      <c r="K474" s="1248" t="s">
        <v>2836</v>
      </c>
    </row>
    <row r="475" spans="1:11" s="1234" customFormat="1">
      <c r="A475" s="1248">
        <v>104</v>
      </c>
      <c r="B475" s="1252"/>
      <c r="C475" s="1250"/>
      <c r="D475" s="1248"/>
      <c r="E475" s="1250"/>
      <c r="F475" s="1251"/>
      <c r="G475" s="1252" t="s">
        <v>2879</v>
      </c>
      <c r="H475" s="1253">
        <v>50</v>
      </c>
      <c r="I475" s="1248" t="s">
        <v>207</v>
      </c>
      <c r="J475" s="1253">
        <v>5</v>
      </c>
      <c r="K475" s="1248" t="s">
        <v>2836</v>
      </c>
    </row>
    <row r="476" spans="1:11" s="1234" customFormat="1" ht="25.5">
      <c r="A476" s="1248">
        <v>105</v>
      </c>
      <c r="B476" s="1252"/>
      <c r="C476" s="1250"/>
      <c r="D476" s="1248"/>
      <c r="E476" s="1250"/>
      <c r="F476" s="1251"/>
      <c r="G476" s="1252" t="s">
        <v>2880</v>
      </c>
      <c r="H476" s="1253">
        <v>40</v>
      </c>
      <c r="I476" s="1248" t="s">
        <v>207</v>
      </c>
      <c r="J476" s="1253">
        <v>4</v>
      </c>
      <c r="K476" s="1248" t="s">
        <v>2836</v>
      </c>
    </row>
    <row r="477" spans="1:11" s="1234" customFormat="1">
      <c r="A477" s="1248">
        <v>106</v>
      </c>
      <c r="B477" s="1252"/>
      <c r="C477" s="1250"/>
      <c r="D477" s="1248"/>
      <c r="E477" s="1250"/>
      <c r="F477" s="1251"/>
      <c r="G477" s="1252" t="s">
        <v>2881</v>
      </c>
      <c r="H477" s="1253">
        <v>38</v>
      </c>
      <c r="I477" s="1248" t="s">
        <v>207</v>
      </c>
      <c r="J477" s="1253">
        <v>3.8</v>
      </c>
      <c r="K477" s="1248" t="s">
        <v>2836</v>
      </c>
    </row>
    <row r="478" spans="1:11" s="1234" customFormat="1" ht="25.5">
      <c r="A478" s="1248">
        <v>107</v>
      </c>
      <c r="B478" s="1252"/>
      <c r="C478" s="1250"/>
      <c r="D478" s="1248"/>
      <c r="E478" s="1250"/>
      <c r="F478" s="1251"/>
      <c r="G478" s="1252" t="s">
        <v>2882</v>
      </c>
      <c r="H478" s="1253">
        <v>30</v>
      </c>
      <c r="I478" s="1248" t="s">
        <v>207</v>
      </c>
      <c r="J478" s="1253">
        <v>3</v>
      </c>
      <c r="K478" s="1248" t="s">
        <v>2836</v>
      </c>
    </row>
    <row r="479" spans="1:11" s="1234" customFormat="1" ht="25.5">
      <c r="A479" s="1248">
        <v>108</v>
      </c>
      <c r="B479" s="1252"/>
      <c r="C479" s="1250"/>
      <c r="D479" s="1248"/>
      <c r="E479" s="1250"/>
      <c r="F479" s="1251"/>
      <c r="G479" s="1252" t="s">
        <v>2883</v>
      </c>
      <c r="H479" s="1253">
        <v>50</v>
      </c>
      <c r="I479" s="1248" t="s">
        <v>207</v>
      </c>
      <c r="J479" s="1253">
        <v>5</v>
      </c>
      <c r="K479" s="1248" t="s">
        <v>2836</v>
      </c>
    </row>
    <row r="480" spans="1:11" s="1234" customFormat="1">
      <c r="A480" s="1248">
        <v>109</v>
      </c>
      <c r="B480" s="1252"/>
      <c r="C480" s="1250"/>
      <c r="D480" s="1248"/>
      <c r="E480" s="1250"/>
      <c r="F480" s="1251"/>
      <c r="G480" s="1252" t="s">
        <v>2884</v>
      </c>
      <c r="H480" s="1253">
        <v>100</v>
      </c>
      <c r="I480" s="1248" t="s">
        <v>207</v>
      </c>
      <c r="J480" s="1253">
        <v>10</v>
      </c>
      <c r="K480" s="1248" t="s">
        <v>2836</v>
      </c>
    </row>
    <row r="481" spans="1:11" s="1234" customFormat="1">
      <c r="A481" s="1241" t="s">
        <v>220</v>
      </c>
      <c r="B481" s="1243" t="s">
        <v>2023</v>
      </c>
      <c r="C481" s="1254">
        <f>SUM(C492:C496)</f>
        <v>1810</v>
      </c>
      <c r="D481" s="1254"/>
      <c r="E481" s="1254">
        <f t="shared" ref="E481:F481" si="1">SUM(E492:E496)</f>
        <v>181</v>
      </c>
      <c r="F481" s="1254">
        <f t="shared" si="1"/>
        <v>0</v>
      </c>
      <c r="G481" s="1252"/>
      <c r="H481" s="1254">
        <f>SUM(H492:H496)</f>
        <v>1810</v>
      </c>
      <c r="I481" s="1254"/>
      <c r="J481" s="1254">
        <f t="shared" ref="J481" si="2">SUM(J492:J496)</f>
        <v>181</v>
      </c>
      <c r="K481" s="1241" t="s">
        <v>2837</v>
      </c>
    </row>
    <row r="482" spans="1:11" s="1234" customFormat="1" ht="25.5" hidden="1">
      <c r="A482" s="1248" t="s">
        <v>2130</v>
      </c>
      <c r="B482" s="1252" t="s">
        <v>2545</v>
      </c>
      <c r="C482" s="1250">
        <v>200</v>
      </c>
      <c r="D482" s="1248" t="s">
        <v>207</v>
      </c>
      <c r="E482" s="1250">
        <v>20</v>
      </c>
      <c r="F482" s="1251" t="s">
        <v>2031</v>
      </c>
      <c r="G482" s="1252"/>
      <c r="H482" s="1253"/>
      <c r="I482" s="1248"/>
      <c r="J482" s="1253"/>
      <c r="K482" s="1248"/>
    </row>
    <row r="483" spans="1:11" s="1234" customFormat="1" ht="25.5" hidden="1">
      <c r="A483" s="1248" t="s">
        <v>2131</v>
      </c>
      <c r="B483" s="1252" t="s">
        <v>2546</v>
      </c>
      <c r="C483" s="1250">
        <v>300</v>
      </c>
      <c r="D483" s="1248" t="s">
        <v>207</v>
      </c>
      <c r="E483" s="1250">
        <v>30</v>
      </c>
      <c r="F483" s="1251" t="s">
        <v>2031</v>
      </c>
      <c r="G483" s="1252"/>
      <c r="H483" s="1253"/>
      <c r="I483" s="1248"/>
      <c r="J483" s="1253"/>
      <c r="K483" s="1248"/>
    </row>
    <row r="484" spans="1:11" s="1234" customFormat="1" hidden="1">
      <c r="A484" s="1248" t="s">
        <v>2132</v>
      </c>
      <c r="B484" s="1252" t="s">
        <v>2547</v>
      </c>
      <c r="C484" s="1250">
        <v>535</v>
      </c>
      <c r="D484" s="1248" t="s">
        <v>207</v>
      </c>
      <c r="E484" s="1250">
        <v>53.5</v>
      </c>
      <c r="F484" s="1251" t="s">
        <v>2031</v>
      </c>
      <c r="G484" s="1252"/>
      <c r="H484" s="1253"/>
      <c r="I484" s="1248"/>
      <c r="J484" s="1253"/>
      <c r="K484" s="1248"/>
    </row>
    <row r="485" spans="1:11" s="1234" customFormat="1" ht="25.5" hidden="1">
      <c r="A485" s="1248" t="s">
        <v>2133</v>
      </c>
      <c r="B485" s="1252" t="s">
        <v>2548</v>
      </c>
      <c r="C485" s="1250">
        <v>375</v>
      </c>
      <c r="D485" s="1248" t="s">
        <v>207</v>
      </c>
      <c r="E485" s="1250">
        <v>37.5</v>
      </c>
      <c r="F485" s="1251" t="s">
        <v>2031</v>
      </c>
      <c r="G485" s="1252"/>
      <c r="H485" s="1253"/>
      <c r="I485" s="1248"/>
      <c r="J485" s="1253"/>
      <c r="K485" s="1248"/>
    </row>
    <row r="486" spans="1:11" s="1234" customFormat="1" hidden="1">
      <c r="A486" s="1248" t="s">
        <v>2134</v>
      </c>
      <c r="B486" s="1252" t="s">
        <v>2549</v>
      </c>
      <c r="C486" s="1250">
        <v>400</v>
      </c>
      <c r="D486" s="1248" t="s">
        <v>207</v>
      </c>
      <c r="E486" s="1250">
        <v>40</v>
      </c>
      <c r="F486" s="1251" t="s">
        <v>2031</v>
      </c>
      <c r="G486" s="1252"/>
      <c r="H486" s="1253"/>
      <c r="I486" s="1248"/>
      <c r="J486" s="1253"/>
      <c r="K486" s="1248"/>
    </row>
    <row r="487" spans="1:11" s="1234" customFormat="1" ht="25.5" hidden="1">
      <c r="A487" s="1257" t="s">
        <v>2130</v>
      </c>
      <c r="B487" s="1252" t="s">
        <v>2545</v>
      </c>
      <c r="C487" s="1250">
        <v>200</v>
      </c>
      <c r="D487" s="1257" t="s">
        <v>207</v>
      </c>
      <c r="E487" s="1258">
        <v>20</v>
      </c>
      <c r="F487" s="1251"/>
      <c r="G487" s="1252" t="s">
        <v>2545</v>
      </c>
      <c r="H487" s="1250">
        <v>200</v>
      </c>
      <c r="I487" s="1257" t="s">
        <v>207</v>
      </c>
      <c r="J487" s="1258">
        <v>20</v>
      </c>
      <c r="K487" s="1248" t="s">
        <v>2837</v>
      </c>
    </row>
    <row r="488" spans="1:11" s="1234" customFormat="1" ht="25.5" hidden="1">
      <c r="A488" s="1257" t="s">
        <v>2131</v>
      </c>
      <c r="B488" s="1252" t="s">
        <v>2546</v>
      </c>
      <c r="C488" s="1250">
        <v>300</v>
      </c>
      <c r="D488" s="1257" t="s">
        <v>207</v>
      </c>
      <c r="E488" s="1258">
        <v>30</v>
      </c>
      <c r="F488" s="1251"/>
      <c r="G488" s="1252" t="s">
        <v>2546</v>
      </c>
      <c r="H488" s="1250">
        <v>300</v>
      </c>
      <c r="I488" s="1257" t="s">
        <v>207</v>
      </c>
      <c r="J488" s="1258">
        <v>30</v>
      </c>
      <c r="K488" s="1248" t="s">
        <v>2837</v>
      </c>
    </row>
    <row r="489" spans="1:11" s="1234" customFormat="1" hidden="1">
      <c r="A489" s="1257" t="s">
        <v>2132</v>
      </c>
      <c r="B489" s="1252" t="s">
        <v>2547</v>
      </c>
      <c r="C489" s="1250">
        <v>535</v>
      </c>
      <c r="D489" s="1257" t="s">
        <v>207</v>
      </c>
      <c r="E489" s="1258">
        <v>53.5</v>
      </c>
      <c r="F489" s="1251"/>
      <c r="G489" s="1252" t="s">
        <v>2547</v>
      </c>
      <c r="H489" s="1250">
        <v>535</v>
      </c>
      <c r="I489" s="1257" t="s">
        <v>207</v>
      </c>
      <c r="J489" s="1258">
        <v>53.5</v>
      </c>
      <c r="K489" s="1248" t="s">
        <v>2837</v>
      </c>
    </row>
    <row r="490" spans="1:11" s="1234" customFormat="1" ht="25.5" hidden="1">
      <c r="A490" s="1257" t="s">
        <v>2133</v>
      </c>
      <c r="B490" s="1252" t="s">
        <v>2548</v>
      </c>
      <c r="C490" s="1250">
        <v>375</v>
      </c>
      <c r="D490" s="1257" t="s">
        <v>207</v>
      </c>
      <c r="E490" s="1258">
        <v>37.5</v>
      </c>
      <c r="F490" s="1251"/>
      <c r="G490" s="1252" t="s">
        <v>2548</v>
      </c>
      <c r="H490" s="1250">
        <v>375</v>
      </c>
      <c r="I490" s="1257" t="s">
        <v>207</v>
      </c>
      <c r="J490" s="1258">
        <v>37.5</v>
      </c>
      <c r="K490" s="1248" t="s">
        <v>2837</v>
      </c>
    </row>
    <row r="491" spans="1:11" s="1234" customFormat="1" hidden="1">
      <c r="A491" s="1257" t="s">
        <v>2134</v>
      </c>
      <c r="B491" s="1252" t="s">
        <v>2549</v>
      </c>
      <c r="C491" s="1250">
        <v>400</v>
      </c>
      <c r="D491" s="1257" t="s">
        <v>207</v>
      </c>
      <c r="E491" s="1258">
        <v>40</v>
      </c>
      <c r="F491" s="1251"/>
      <c r="G491" s="1252" t="s">
        <v>2549</v>
      </c>
      <c r="H491" s="1250">
        <v>400</v>
      </c>
      <c r="I491" s="1257" t="s">
        <v>207</v>
      </c>
      <c r="J491" s="1258">
        <v>40</v>
      </c>
      <c r="K491" s="1248" t="s">
        <v>2837</v>
      </c>
    </row>
    <row r="492" spans="1:11" s="1234" customFormat="1" ht="25.5">
      <c r="A492" s="1257">
        <v>1</v>
      </c>
      <c r="B492" s="1252" t="s">
        <v>2545</v>
      </c>
      <c r="C492" s="1250">
        <v>200</v>
      </c>
      <c r="D492" s="1257" t="s">
        <v>207</v>
      </c>
      <c r="E492" s="1258">
        <v>20</v>
      </c>
      <c r="F492" s="1259"/>
      <c r="G492" s="1252" t="s">
        <v>2545</v>
      </c>
      <c r="H492" s="1250">
        <v>200</v>
      </c>
      <c r="I492" s="1257" t="s">
        <v>207</v>
      </c>
      <c r="J492" s="1258">
        <v>20</v>
      </c>
      <c r="K492" s="1248" t="s">
        <v>2837</v>
      </c>
    </row>
    <row r="493" spans="1:11" s="1234" customFormat="1" ht="25.5">
      <c r="A493" s="1257">
        <v>2</v>
      </c>
      <c r="B493" s="1252" t="s">
        <v>2546</v>
      </c>
      <c r="C493" s="1250">
        <v>300</v>
      </c>
      <c r="D493" s="1257" t="s">
        <v>207</v>
      </c>
      <c r="E493" s="1258">
        <v>30</v>
      </c>
      <c r="F493" s="1259"/>
      <c r="G493" s="1252" t="s">
        <v>2546</v>
      </c>
      <c r="H493" s="1250">
        <v>300</v>
      </c>
      <c r="I493" s="1257" t="s">
        <v>207</v>
      </c>
      <c r="J493" s="1258">
        <v>30</v>
      </c>
      <c r="K493" s="1248" t="s">
        <v>2837</v>
      </c>
    </row>
    <row r="494" spans="1:11" s="1234" customFormat="1">
      <c r="A494" s="1257">
        <v>3</v>
      </c>
      <c r="B494" s="1252" t="s">
        <v>2547</v>
      </c>
      <c r="C494" s="1250">
        <v>535</v>
      </c>
      <c r="D494" s="1257" t="s">
        <v>207</v>
      </c>
      <c r="E494" s="1258">
        <v>53.5</v>
      </c>
      <c r="F494" s="1259"/>
      <c r="G494" s="1252" t="s">
        <v>2547</v>
      </c>
      <c r="H494" s="1250">
        <v>535</v>
      </c>
      <c r="I494" s="1257" t="s">
        <v>207</v>
      </c>
      <c r="J494" s="1258">
        <v>53.5</v>
      </c>
      <c r="K494" s="1248" t="s">
        <v>2837</v>
      </c>
    </row>
    <row r="495" spans="1:11" s="1234" customFormat="1" ht="25.5">
      <c r="A495" s="1257">
        <v>4</v>
      </c>
      <c r="B495" s="1252" t="s">
        <v>2548</v>
      </c>
      <c r="C495" s="1250">
        <v>375</v>
      </c>
      <c r="D495" s="1257" t="s">
        <v>207</v>
      </c>
      <c r="E495" s="1258">
        <v>37.5</v>
      </c>
      <c r="F495" s="1259"/>
      <c r="G495" s="1252" t="s">
        <v>2548</v>
      </c>
      <c r="H495" s="1250">
        <v>375</v>
      </c>
      <c r="I495" s="1257" t="s">
        <v>207</v>
      </c>
      <c r="J495" s="1258">
        <v>37.5</v>
      </c>
      <c r="K495" s="1248" t="s">
        <v>2837</v>
      </c>
    </row>
    <row r="496" spans="1:11" s="1234" customFormat="1">
      <c r="A496" s="1257">
        <v>5</v>
      </c>
      <c r="B496" s="1252" t="s">
        <v>2549</v>
      </c>
      <c r="C496" s="1250">
        <v>400</v>
      </c>
      <c r="D496" s="1257" t="s">
        <v>207</v>
      </c>
      <c r="E496" s="1258">
        <v>40</v>
      </c>
      <c r="F496" s="1259"/>
      <c r="G496" s="1252" t="s">
        <v>2549</v>
      </c>
      <c r="H496" s="1250">
        <v>400</v>
      </c>
      <c r="I496" s="1257" t="s">
        <v>207</v>
      </c>
      <c r="J496" s="1258">
        <v>40</v>
      </c>
      <c r="K496" s="1248" t="s">
        <v>2837</v>
      </c>
    </row>
    <row r="497" spans="1:11" s="1234" customFormat="1">
      <c r="A497" s="1241" t="s">
        <v>223</v>
      </c>
      <c r="B497" s="1243" t="s">
        <v>2033</v>
      </c>
      <c r="C497" s="1254">
        <f>SUM(C498:C609)</f>
        <v>7328</v>
      </c>
      <c r="D497" s="1254"/>
      <c r="E497" s="1254">
        <f t="shared" ref="E497" si="3">SUM(E498:E609)</f>
        <v>724.7</v>
      </c>
      <c r="F497" s="1251"/>
      <c r="G497" s="1252"/>
      <c r="H497" s="1254">
        <f>SUM(H498:H609)</f>
        <v>7314</v>
      </c>
      <c r="I497" s="1242"/>
      <c r="J497" s="1254">
        <f t="shared" ref="J497" si="4">SUM(J498:J609)</f>
        <v>724.69999999999993</v>
      </c>
      <c r="K497" s="1248"/>
    </row>
    <row r="498" spans="1:11" s="1234" customFormat="1" ht="25.5">
      <c r="A498" s="1248">
        <v>1</v>
      </c>
      <c r="B498" s="1252" t="s">
        <v>2550</v>
      </c>
      <c r="C498" s="1250">
        <v>70</v>
      </c>
      <c r="D498" s="1248" t="s">
        <v>207</v>
      </c>
      <c r="E498" s="1250">
        <v>7</v>
      </c>
      <c r="F498" s="1251" t="s">
        <v>2031</v>
      </c>
      <c r="G498" s="1252" t="s">
        <v>2550</v>
      </c>
      <c r="H498" s="1250">
        <v>70</v>
      </c>
      <c r="I498" s="1248" t="s">
        <v>207</v>
      </c>
      <c r="J498" s="1250">
        <v>7</v>
      </c>
      <c r="K498" s="1248" t="s">
        <v>2837</v>
      </c>
    </row>
    <row r="499" spans="1:11" s="1234" customFormat="1" ht="25.5">
      <c r="A499" s="1248">
        <v>2</v>
      </c>
      <c r="B499" s="1252" t="s">
        <v>2551</v>
      </c>
      <c r="C499" s="1250">
        <v>200</v>
      </c>
      <c r="D499" s="1248" t="s">
        <v>207</v>
      </c>
      <c r="E499" s="1250">
        <v>20</v>
      </c>
      <c r="F499" s="1251" t="s">
        <v>2031</v>
      </c>
      <c r="G499" s="1252" t="s">
        <v>2551</v>
      </c>
      <c r="H499" s="1250">
        <v>200</v>
      </c>
      <c r="I499" s="1248" t="s">
        <v>207</v>
      </c>
      <c r="J499" s="1250">
        <v>20</v>
      </c>
      <c r="K499" s="1248" t="s">
        <v>2837</v>
      </c>
    </row>
    <row r="500" spans="1:11" s="1234" customFormat="1" ht="25.5">
      <c r="A500" s="1248">
        <v>3</v>
      </c>
      <c r="B500" s="1252" t="s">
        <v>2552</v>
      </c>
      <c r="C500" s="1250">
        <v>40</v>
      </c>
      <c r="D500" s="1248" t="s">
        <v>207</v>
      </c>
      <c r="E500" s="1250">
        <v>4</v>
      </c>
      <c r="F500" s="1251" t="s">
        <v>2031</v>
      </c>
      <c r="G500" s="1252" t="s">
        <v>2552</v>
      </c>
      <c r="H500" s="1250">
        <v>40</v>
      </c>
      <c r="I500" s="1248" t="s">
        <v>207</v>
      </c>
      <c r="J500" s="1250">
        <v>4</v>
      </c>
      <c r="K500" s="1248" t="s">
        <v>2837</v>
      </c>
    </row>
    <row r="501" spans="1:11" s="1234" customFormat="1" ht="25.5">
      <c r="A501" s="1248">
        <v>4</v>
      </c>
      <c r="B501" s="1252" t="s">
        <v>2553</v>
      </c>
      <c r="C501" s="1250">
        <v>140</v>
      </c>
      <c r="D501" s="1248" t="s">
        <v>207</v>
      </c>
      <c r="E501" s="1250">
        <v>14</v>
      </c>
      <c r="F501" s="1251" t="s">
        <v>2031</v>
      </c>
      <c r="G501" s="1252" t="s">
        <v>2553</v>
      </c>
      <c r="H501" s="1250">
        <v>140</v>
      </c>
      <c r="I501" s="1248" t="s">
        <v>207</v>
      </c>
      <c r="J501" s="1250">
        <v>14</v>
      </c>
      <c r="K501" s="1248" t="s">
        <v>2837</v>
      </c>
    </row>
    <row r="502" spans="1:11" s="1234" customFormat="1" ht="25.5">
      <c r="A502" s="1248">
        <v>5</v>
      </c>
      <c r="B502" s="1252" t="s">
        <v>2554</v>
      </c>
      <c r="C502" s="1250">
        <v>90</v>
      </c>
      <c r="D502" s="1248" t="s">
        <v>207</v>
      </c>
      <c r="E502" s="1250">
        <v>9</v>
      </c>
      <c r="F502" s="1251" t="s">
        <v>2031</v>
      </c>
      <c r="G502" s="1252" t="s">
        <v>2554</v>
      </c>
      <c r="H502" s="1250">
        <v>90</v>
      </c>
      <c r="I502" s="1248" t="s">
        <v>207</v>
      </c>
      <c r="J502" s="1250">
        <v>9</v>
      </c>
      <c r="K502" s="1248" t="s">
        <v>2837</v>
      </c>
    </row>
    <row r="503" spans="1:11" s="1234" customFormat="1" ht="25.5">
      <c r="A503" s="1248">
        <v>6</v>
      </c>
      <c r="B503" s="1252" t="s">
        <v>2555</v>
      </c>
      <c r="C503" s="1250">
        <v>60</v>
      </c>
      <c r="D503" s="1248" t="s">
        <v>207</v>
      </c>
      <c r="E503" s="1250">
        <v>6</v>
      </c>
      <c r="F503" s="1251" t="s">
        <v>2031</v>
      </c>
      <c r="G503" s="1252" t="s">
        <v>2555</v>
      </c>
      <c r="H503" s="1250">
        <v>60</v>
      </c>
      <c r="I503" s="1248" t="s">
        <v>207</v>
      </c>
      <c r="J503" s="1250">
        <v>6</v>
      </c>
      <c r="K503" s="1248" t="s">
        <v>2837</v>
      </c>
    </row>
    <row r="504" spans="1:11" s="1234" customFormat="1">
      <c r="A504" s="1248">
        <v>7</v>
      </c>
      <c r="B504" s="1252" t="s">
        <v>2556</v>
      </c>
      <c r="C504" s="1250">
        <v>400</v>
      </c>
      <c r="D504" s="1248" t="s">
        <v>207</v>
      </c>
      <c r="E504" s="1250">
        <v>40</v>
      </c>
      <c r="F504" s="1251" t="s">
        <v>2031</v>
      </c>
      <c r="G504" s="1252" t="s">
        <v>2556</v>
      </c>
      <c r="H504" s="1250">
        <v>400</v>
      </c>
      <c r="I504" s="1248" t="s">
        <v>207</v>
      </c>
      <c r="J504" s="1250">
        <v>40</v>
      </c>
      <c r="K504" s="1248" t="s">
        <v>2837</v>
      </c>
    </row>
    <row r="505" spans="1:11" s="1234" customFormat="1" ht="25.5">
      <c r="A505" s="1248">
        <v>8</v>
      </c>
      <c r="B505" s="1252" t="s">
        <v>2557</v>
      </c>
      <c r="C505" s="1250">
        <v>70</v>
      </c>
      <c r="D505" s="1248" t="s">
        <v>207</v>
      </c>
      <c r="E505" s="1250">
        <v>7</v>
      </c>
      <c r="F505" s="1251" t="s">
        <v>2031</v>
      </c>
      <c r="G505" s="1252" t="s">
        <v>2557</v>
      </c>
      <c r="H505" s="1250">
        <v>70</v>
      </c>
      <c r="I505" s="1248" t="s">
        <v>207</v>
      </c>
      <c r="J505" s="1250">
        <v>7</v>
      </c>
      <c r="K505" s="1248" t="s">
        <v>2837</v>
      </c>
    </row>
    <row r="506" spans="1:11" s="1234" customFormat="1">
      <c r="A506" s="1248">
        <v>9</v>
      </c>
      <c r="B506" s="1252" t="s">
        <v>2558</v>
      </c>
      <c r="C506" s="1250">
        <v>68</v>
      </c>
      <c r="D506" s="1248" t="s">
        <v>207</v>
      </c>
      <c r="E506" s="1250">
        <v>6.8</v>
      </c>
      <c r="F506" s="1251" t="s">
        <v>2031</v>
      </c>
      <c r="G506" s="1252" t="s">
        <v>2558</v>
      </c>
      <c r="H506" s="1250">
        <v>68</v>
      </c>
      <c r="I506" s="1248" t="s">
        <v>207</v>
      </c>
      <c r="J506" s="1250">
        <v>6.8</v>
      </c>
      <c r="K506" s="1248" t="s">
        <v>2837</v>
      </c>
    </row>
    <row r="507" spans="1:11" s="1234" customFormat="1" ht="25.5">
      <c r="A507" s="1248">
        <v>10</v>
      </c>
      <c r="B507" s="1252" t="s">
        <v>2559</v>
      </c>
      <c r="C507" s="1250">
        <v>35</v>
      </c>
      <c r="D507" s="1248" t="s">
        <v>207</v>
      </c>
      <c r="E507" s="1250">
        <v>3.5</v>
      </c>
      <c r="F507" s="1251" t="s">
        <v>2031</v>
      </c>
      <c r="G507" s="1252"/>
      <c r="H507" s="1250"/>
      <c r="I507" s="1248"/>
      <c r="J507" s="1250"/>
      <c r="K507" s="1248" t="s">
        <v>2838</v>
      </c>
    </row>
    <row r="508" spans="1:11" s="1234" customFormat="1" ht="25.5">
      <c r="A508" s="1248">
        <v>11</v>
      </c>
      <c r="B508" s="1252" t="s">
        <v>2560</v>
      </c>
      <c r="C508" s="1250">
        <v>50</v>
      </c>
      <c r="D508" s="1248" t="s">
        <v>2032</v>
      </c>
      <c r="E508" s="1250">
        <v>4</v>
      </c>
      <c r="F508" s="1251" t="s">
        <v>2031</v>
      </c>
      <c r="G508" s="1252"/>
      <c r="H508" s="1250"/>
      <c r="I508" s="1248"/>
      <c r="J508" s="1250"/>
      <c r="K508" s="1248" t="s">
        <v>2838</v>
      </c>
    </row>
    <row r="509" spans="1:11" s="1234" customFormat="1">
      <c r="A509" s="1248">
        <v>12</v>
      </c>
      <c r="B509" s="1252" t="s">
        <v>2561</v>
      </c>
      <c r="C509" s="1250">
        <v>186</v>
      </c>
      <c r="D509" s="1248" t="s">
        <v>207</v>
      </c>
      <c r="E509" s="1250">
        <v>18.600000000000001</v>
      </c>
      <c r="F509" s="1251" t="s">
        <v>2031</v>
      </c>
      <c r="G509" s="1252" t="s">
        <v>2561</v>
      </c>
      <c r="H509" s="1250">
        <v>186</v>
      </c>
      <c r="I509" s="1248" t="s">
        <v>207</v>
      </c>
      <c r="J509" s="1250">
        <v>18.600000000000001</v>
      </c>
      <c r="K509" s="1248" t="s">
        <v>2837</v>
      </c>
    </row>
    <row r="510" spans="1:11" s="1234" customFormat="1">
      <c r="A510" s="1248">
        <v>13</v>
      </c>
      <c r="B510" s="1252" t="s">
        <v>2562</v>
      </c>
      <c r="C510" s="1250">
        <v>185</v>
      </c>
      <c r="D510" s="1248" t="s">
        <v>207</v>
      </c>
      <c r="E510" s="1250">
        <v>18.5</v>
      </c>
      <c r="F510" s="1251" t="s">
        <v>2031</v>
      </c>
      <c r="G510" s="1252" t="s">
        <v>2562</v>
      </c>
      <c r="H510" s="1250">
        <v>185</v>
      </c>
      <c r="I510" s="1248" t="s">
        <v>207</v>
      </c>
      <c r="J510" s="1250">
        <v>18.5</v>
      </c>
      <c r="K510" s="1248" t="s">
        <v>2837</v>
      </c>
    </row>
    <row r="511" spans="1:11" s="1234" customFormat="1" ht="25.5">
      <c r="A511" s="1248">
        <v>14</v>
      </c>
      <c r="B511" s="1252" t="s">
        <v>2563</v>
      </c>
      <c r="C511" s="1250">
        <v>168</v>
      </c>
      <c r="D511" s="1248" t="s">
        <v>207</v>
      </c>
      <c r="E511" s="1250">
        <v>16.8</v>
      </c>
      <c r="F511" s="1251" t="s">
        <v>2031</v>
      </c>
      <c r="G511" s="1252" t="s">
        <v>2563</v>
      </c>
      <c r="H511" s="1250">
        <v>40</v>
      </c>
      <c r="I511" s="1248" t="s">
        <v>207</v>
      </c>
      <c r="J511" s="1250">
        <v>4</v>
      </c>
      <c r="K511" s="1248" t="s">
        <v>2839</v>
      </c>
    </row>
    <row r="512" spans="1:11" s="1234" customFormat="1">
      <c r="A512" s="1248">
        <v>15</v>
      </c>
      <c r="B512" s="1252" t="s">
        <v>2564</v>
      </c>
      <c r="C512" s="1250">
        <v>340</v>
      </c>
      <c r="D512" s="1248" t="s">
        <v>207</v>
      </c>
      <c r="E512" s="1250">
        <v>34</v>
      </c>
      <c r="F512" s="1251" t="s">
        <v>2031</v>
      </c>
      <c r="G512" s="1252" t="s">
        <v>2564</v>
      </c>
      <c r="H512" s="1253">
        <v>340</v>
      </c>
      <c r="I512" s="1248" t="s">
        <v>207</v>
      </c>
      <c r="J512" s="1253">
        <v>34</v>
      </c>
      <c r="K512" s="1248" t="s">
        <v>2837</v>
      </c>
    </row>
    <row r="513" spans="1:11" s="1234" customFormat="1">
      <c r="A513" s="1248">
        <v>16</v>
      </c>
      <c r="B513" s="1252" t="s">
        <v>2565</v>
      </c>
      <c r="C513" s="1250">
        <v>21</v>
      </c>
      <c r="D513" s="1248" t="s">
        <v>207</v>
      </c>
      <c r="E513" s="1250">
        <v>2.1</v>
      </c>
      <c r="F513" s="1251" t="s">
        <v>2031</v>
      </c>
      <c r="G513" s="1252" t="s">
        <v>2565</v>
      </c>
      <c r="H513" s="1253">
        <v>21</v>
      </c>
      <c r="I513" s="1248" t="s">
        <v>207</v>
      </c>
      <c r="J513" s="1253">
        <v>2.1</v>
      </c>
      <c r="K513" s="1248" t="s">
        <v>2837</v>
      </c>
    </row>
    <row r="514" spans="1:11" s="1234" customFormat="1">
      <c r="A514" s="1248">
        <v>17</v>
      </c>
      <c r="B514" s="1252" t="s">
        <v>2566</v>
      </c>
      <c r="C514" s="1250">
        <v>45</v>
      </c>
      <c r="D514" s="1248" t="s">
        <v>207</v>
      </c>
      <c r="E514" s="1250">
        <v>4.5</v>
      </c>
      <c r="F514" s="1251" t="s">
        <v>2031</v>
      </c>
      <c r="G514" s="1252" t="s">
        <v>2566</v>
      </c>
      <c r="H514" s="1253">
        <v>45</v>
      </c>
      <c r="I514" s="1248" t="s">
        <v>207</v>
      </c>
      <c r="J514" s="1253">
        <v>4.5</v>
      </c>
      <c r="K514" s="1248" t="s">
        <v>2837</v>
      </c>
    </row>
    <row r="515" spans="1:11" s="1234" customFormat="1" ht="25.5">
      <c r="A515" s="1248">
        <v>18</v>
      </c>
      <c r="B515" s="1252" t="s">
        <v>2567</v>
      </c>
      <c r="C515" s="1250">
        <v>50</v>
      </c>
      <c r="D515" s="1248" t="s">
        <v>207</v>
      </c>
      <c r="E515" s="1250">
        <v>5</v>
      </c>
      <c r="F515" s="1251" t="s">
        <v>2031</v>
      </c>
      <c r="G515" s="1252" t="s">
        <v>2567</v>
      </c>
      <c r="H515" s="1253">
        <v>50</v>
      </c>
      <c r="I515" s="1248" t="s">
        <v>207</v>
      </c>
      <c r="J515" s="1253">
        <v>5</v>
      </c>
      <c r="K515" s="1248" t="s">
        <v>2837</v>
      </c>
    </row>
    <row r="516" spans="1:11" s="1234" customFormat="1" ht="25.5">
      <c r="A516" s="1248">
        <v>19</v>
      </c>
      <c r="B516" s="1252" t="s">
        <v>2568</v>
      </c>
      <c r="C516" s="1250">
        <v>57</v>
      </c>
      <c r="D516" s="1248" t="s">
        <v>207</v>
      </c>
      <c r="E516" s="1250">
        <v>5.7</v>
      </c>
      <c r="F516" s="1251" t="s">
        <v>2031</v>
      </c>
      <c r="G516" s="1252" t="s">
        <v>2568</v>
      </c>
      <c r="H516" s="1253">
        <v>57</v>
      </c>
      <c r="I516" s="1248" t="s">
        <v>207</v>
      </c>
      <c r="J516" s="1253">
        <v>5.7</v>
      </c>
      <c r="K516" s="1248" t="s">
        <v>2837</v>
      </c>
    </row>
    <row r="517" spans="1:11" s="1234" customFormat="1" ht="25.5">
      <c r="A517" s="1248">
        <v>20</v>
      </c>
      <c r="B517" s="1252" t="s">
        <v>2569</v>
      </c>
      <c r="C517" s="1250">
        <v>31</v>
      </c>
      <c r="D517" s="1248" t="s">
        <v>2032</v>
      </c>
      <c r="E517" s="1250">
        <v>2.5</v>
      </c>
      <c r="F517" s="1251" t="s">
        <v>2031</v>
      </c>
      <c r="G517" s="1252" t="s">
        <v>2569</v>
      </c>
      <c r="H517" s="1253">
        <v>31</v>
      </c>
      <c r="I517" s="1248" t="s">
        <v>2032</v>
      </c>
      <c r="J517" s="1253">
        <v>2.5</v>
      </c>
      <c r="K517" s="1248" t="s">
        <v>2837</v>
      </c>
    </row>
    <row r="518" spans="1:11" s="1234" customFormat="1" ht="25.5">
      <c r="A518" s="1248">
        <v>21</v>
      </c>
      <c r="B518" s="1252" t="s">
        <v>2570</v>
      </c>
      <c r="C518" s="1250">
        <v>46</v>
      </c>
      <c r="D518" s="1248" t="s">
        <v>2032</v>
      </c>
      <c r="E518" s="1250">
        <v>3.7</v>
      </c>
      <c r="F518" s="1251" t="s">
        <v>2031</v>
      </c>
      <c r="G518" s="1252" t="s">
        <v>2570</v>
      </c>
      <c r="H518" s="1253">
        <v>46</v>
      </c>
      <c r="I518" s="1248" t="s">
        <v>2032</v>
      </c>
      <c r="J518" s="1253">
        <v>3.7</v>
      </c>
      <c r="K518" s="1248" t="s">
        <v>2837</v>
      </c>
    </row>
    <row r="519" spans="1:11" s="1234" customFormat="1" ht="25.5">
      <c r="A519" s="1248">
        <v>22</v>
      </c>
      <c r="B519" s="1252" t="s">
        <v>2571</v>
      </c>
      <c r="C519" s="1250">
        <v>50</v>
      </c>
      <c r="D519" s="1248" t="s">
        <v>207</v>
      </c>
      <c r="E519" s="1250">
        <v>5</v>
      </c>
      <c r="F519" s="1251" t="s">
        <v>2031</v>
      </c>
      <c r="G519" s="1252"/>
      <c r="H519" s="1253"/>
      <c r="I519" s="1248"/>
      <c r="J519" s="1253"/>
      <c r="K519" s="1248" t="s">
        <v>2838</v>
      </c>
    </row>
    <row r="520" spans="1:11" s="1234" customFormat="1" ht="25.5">
      <c r="A520" s="1248">
        <v>23</v>
      </c>
      <c r="B520" s="1252" t="s">
        <v>2572</v>
      </c>
      <c r="C520" s="1250">
        <v>80</v>
      </c>
      <c r="D520" s="1248" t="s">
        <v>207</v>
      </c>
      <c r="E520" s="1250">
        <v>8</v>
      </c>
      <c r="F520" s="1251" t="s">
        <v>2031</v>
      </c>
      <c r="G520" s="1252" t="s">
        <v>2572</v>
      </c>
      <c r="H520" s="1253">
        <v>80</v>
      </c>
      <c r="I520" s="1248" t="s">
        <v>207</v>
      </c>
      <c r="J520" s="1253">
        <v>8</v>
      </c>
      <c r="K520" s="1248" t="s">
        <v>2837</v>
      </c>
    </row>
    <row r="521" spans="1:11" s="1234" customFormat="1" ht="25.5">
      <c r="A521" s="1248">
        <v>24</v>
      </c>
      <c r="B521" s="1252" t="s">
        <v>2573</v>
      </c>
      <c r="C521" s="1250">
        <v>44</v>
      </c>
      <c r="D521" s="1248" t="s">
        <v>207</v>
      </c>
      <c r="E521" s="1250">
        <v>4.4000000000000004</v>
      </c>
      <c r="F521" s="1251" t="s">
        <v>2031</v>
      </c>
      <c r="G521" s="1252" t="s">
        <v>2573</v>
      </c>
      <c r="H521" s="1253">
        <v>44</v>
      </c>
      <c r="I521" s="1248" t="s">
        <v>207</v>
      </c>
      <c r="J521" s="1253">
        <v>4.4000000000000004</v>
      </c>
      <c r="K521" s="1248" t="s">
        <v>2837</v>
      </c>
    </row>
    <row r="522" spans="1:11" s="1234" customFormat="1" ht="25.5">
      <c r="A522" s="1248">
        <v>25</v>
      </c>
      <c r="B522" s="1252" t="s">
        <v>2574</v>
      </c>
      <c r="C522" s="1250">
        <v>11</v>
      </c>
      <c r="D522" s="1248" t="s">
        <v>207</v>
      </c>
      <c r="E522" s="1250">
        <v>1.1000000000000001</v>
      </c>
      <c r="F522" s="1251" t="s">
        <v>2031</v>
      </c>
      <c r="G522" s="1252" t="s">
        <v>2574</v>
      </c>
      <c r="H522" s="1253">
        <v>11</v>
      </c>
      <c r="I522" s="1248" t="s">
        <v>207</v>
      </c>
      <c r="J522" s="1253">
        <v>1.1000000000000001</v>
      </c>
      <c r="K522" s="1248" t="s">
        <v>2837</v>
      </c>
    </row>
    <row r="523" spans="1:11" s="1234" customFormat="1" ht="25.5">
      <c r="A523" s="1248">
        <v>26</v>
      </c>
      <c r="B523" s="1252" t="s">
        <v>2575</v>
      </c>
      <c r="C523" s="1250">
        <v>25</v>
      </c>
      <c r="D523" s="1248" t="s">
        <v>207</v>
      </c>
      <c r="E523" s="1250">
        <v>2.5</v>
      </c>
      <c r="F523" s="1251" t="s">
        <v>2031</v>
      </c>
      <c r="G523" s="1252" t="s">
        <v>2575</v>
      </c>
      <c r="H523" s="1253">
        <v>25</v>
      </c>
      <c r="I523" s="1248" t="s">
        <v>207</v>
      </c>
      <c r="J523" s="1253">
        <v>2.5</v>
      </c>
      <c r="K523" s="1248" t="s">
        <v>2837</v>
      </c>
    </row>
    <row r="524" spans="1:11" s="1234" customFormat="1" ht="25.5">
      <c r="A524" s="1248">
        <v>27</v>
      </c>
      <c r="B524" s="1252" t="s">
        <v>2576</v>
      </c>
      <c r="C524" s="1250">
        <v>24</v>
      </c>
      <c r="D524" s="1248" t="s">
        <v>207</v>
      </c>
      <c r="E524" s="1250">
        <v>2.4</v>
      </c>
      <c r="F524" s="1251" t="s">
        <v>2031</v>
      </c>
      <c r="G524" s="1252" t="s">
        <v>2576</v>
      </c>
      <c r="H524" s="1253">
        <v>24</v>
      </c>
      <c r="I524" s="1248" t="s">
        <v>207</v>
      </c>
      <c r="J524" s="1253">
        <v>2.4</v>
      </c>
      <c r="K524" s="1248" t="s">
        <v>2837</v>
      </c>
    </row>
    <row r="525" spans="1:11" s="1234" customFormat="1" ht="25.5">
      <c r="A525" s="1248">
        <v>28</v>
      </c>
      <c r="B525" s="1252" t="s">
        <v>2577</v>
      </c>
      <c r="C525" s="1250">
        <v>103</v>
      </c>
      <c r="D525" s="1248" t="s">
        <v>207</v>
      </c>
      <c r="E525" s="1250">
        <v>10.3</v>
      </c>
      <c r="F525" s="1251" t="s">
        <v>2031</v>
      </c>
      <c r="G525" s="1252" t="s">
        <v>2577</v>
      </c>
      <c r="H525" s="1253">
        <v>103</v>
      </c>
      <c r="I525" s="1248" t="s">
        <v>207</v>
      </c>
      <c r="J525" s="1253">
        <v>10.3</v>
      </c>
      <c r="K525" s="1248" t="s">
        <v>2837</v>
      </c>
    </row>
    <row r="526" spans="1:11" s="1234" customFormat="1" ht="25.5">
      <c r="A526" s="1248">
        <v>29</v>
      </c>
      <c r="B526" s="1252" t="s">
        <v>2578</v>
      </c>
      <c r="C526" s="1250">
        <v>102</v>
      </c>
      <c r="D526" s="1248" t="s">
        <v>207</v>
      </c>
      <c r="E526" s="1250">
        <v>10.199999999999999</v>
      </c>
      <c r="F526" s="1251" t="s">
        <v>2031</v>
      </c>
      <c r="G526" s="1252" t="s">
        <v>2578</v>
      </c>
      <c r="H526" s="1253">
        <v>102</v>
      </c>
      <c r="I526" s="1248" t="s">
        <v>207</v>
      </c>
      <c r="J526" s="1253">
        <v>10.199999999999999</v>
      </c>
      <c r="K526" s="1248" t="s">
        <v>2837</v>
      </c>
    </row>
    <row r="527" spans="1:11" s="1234" customFormat="1" ht="25.5">
      <c r="A527" s="1248">
        <v>30</v>
      </c>
      <c r="B527" s="1252" t="s">
        <v>2579</v>
      </c>
      <c r="C527" s="1250">
        <v>55</v>
      </c>
      <c r="D527" s="1248" t="s">
        <v>207</v>
      </c>
      <c r="E527" s="1250">
        <v>5.5</v>
      </c>
      <c r="F527" s="1251" t="s">
        <v>2031</v>
      </c>
      <c r="G527" s="1252" t="s">
        <v>2579</v>
      </c>
      <c r="H527" s="1253">
        <v>55</v>
      </c>
      <c r="I527" s="1248" t="s">
        <v>207</v>
      </c>
      <c r="J527" s="1253">
        <v>5.5</v>
      </c>
      <c r="K527" s="1248" t="s">
        <v>2837</v>
      </c>
    </row>
    <row r="528" spans="1:11" s="1234" customFormat="1" ht="25.5">
      <c r="A528" s="1248">
        <v>31</v>
      </c>
      <c r="B528" s="1252" t="s">
        <v>2580</v>
      </c>
      <c r="C528" s="1250">
        <v>36</v>
      </c>
      <c r="D528" s="1248" t="s">
        <v>207</v>
      </c>
      <c r="E528" s="1250">
        <v>3.6</v>
      </c>
      <c r="F528" s="1251" t="s">
        <v>2031</v>
      </c>
      <c r="G528" s="1252" t="s">
        <v>2580</v>
      </c>
      <c r="H528" s="1253">
        <v>36</v>
      </c>
      <c r="I528" s="1248" t="s">
        <v>207</v>
      </c>
      <c r="J528" s="1253">
        <v>3.6</v>
      </c>
      <c r="K528" s="1248" t="s">
        <v>2837</v>
      </c>
    </row>
    <row r="529" spans="1:11" s="1234" customFormat="1">
      <c r="A529" s="1248">
        <v>32</v>
      </c>
      <c r="B529" s="1252" t="s">
        <v>2581</v>
      </c>
      <c r="C529" s="1250">
        <v>50</v>
      </c>
      <c r="D529" s="1248" t="s">
        <v>207</v>
      </c>
      <c r="E529" s="1250">
        <v>5</v>
      </c>
      <c r="F529" s="1251" t="s">
        <v>2031</v>
      </c>
      <c r="G529" s="1252" t="s">
        <v>2581</v>
      </c>
      <c r="H529" s="1253">
        <v>50</v>
      </c>
      <c r="I529" s="1248" t="s">
        <v>207</v>
      </c>
      <c r="J529" s="1253">
        <v>5</v>
      </c>
      <c r="K529" s="1248" t="s">
        <v>2837</v>
      </c>
    </row>
    <row r="530" spans="1:11" s="1234" customFormat="1">
      <c r="A530" s="1248">
        <v>33</v>
      </c>
      <c r="B530" s="1252" t="s">
        <v>2582</v>
      </c>
      <c r="C530" s="1250">
        <v>16</v>
      </c>
      <c r="D530" s="1248" t="s">
        <v>207</v>
      </c>
      <c r="E530" s="1250">
        <v>1.6</v>
      </c>
      <c r="F530" s="1251" t="s">
        <v>2031</v>
      </c>
      <c r="G530" s="1252" t="s">
        <v>2582</v>
      </c>
      <c r="H530" s="1253">
        <v>16</v>
      </c>
      <c r="I530" s="1248" t="s">
        <v>207</v>
      </c>
      <c r="J530" s="1253">
        <v>1.6</v>
      </c>
      <c r="K530" s="1248" t="s">
        <v>2837</v>
      </c>
    </row>
    <row r="531" spans="1:11" s="1234" customFormat="1" ht="25.5">
      <c r="A531" s="1248">
        <v>34</v>
      </c>
      <c r="B531" s="1252" t="s">
        <v>2583</v>
      </c>
      <c r="C531" s="1250">
        <v>57</v>
      </c>
      <c r="D531" s="1248" t="s">
        <v>207</v>
      </c>
      <c r="E531" s="1250">
        <v>5.7</v>
      </c>
      <c r="F531" s="1251" t="s">
        <v>2031</v>
      </c>
      <c r="G531" s="1252"/>
      <c r="H531" s="1253"/>
      <c r="I531" s="1248"/>
      <c r="J531" s="1253"/>
      <c r="K531" s="1248" t="s">
        <v>2838</v>
      </c>
    </row>
    <row r="532" spans="1:11" s="1234" customFormat="1" ht="25.5">
      <c r="A532" s="1248">
        <v>35</v>
      </c>
      <c r="B532" s="1252" t="s">
        <v>2584</v>
      </c>
      <c r="C532" s="1250">
        <v>65</v>
      </c>
      <c r="D532" s="1248" t="s">
        <v>207</v>
      </c>
      <c r="E532" s="1250">
        <v>6.5</v>
      </c>
      <c r="F532" s="1251" t="s">
        <v>2031</v>
      </c>
      <c r="G532" s="1252" t="s">
        <v>2584</v>
      </c>
      <c r="H532" s="1253">
        <v>65</v>
      </c>
      <c r="I532" s="1248" t="s">
        <v>207</v>
      </c>
      <c r="J532" s="1253">
        <v>6.5</v>
      </c>
      <c r="K532" s="1248" t="s">
        <v>2837</v>
      </c>
    </row>
    <row r="533" spans="1:11" s="1234" customFormat="1" ht="25.5">
      <c r="A533" s="1248">
        <v>36</v>
      </c>
      <c r="B533" s="1252" t="s">
        <v>2585</v>
      </c>
      <c r="C533" s="1250">
        <v>63</v>
      </c>
      <c r="D533" s="1248" t="s">
        <v>207</v>
      </c>
      <c r="E533" s="1250">
        <v>6.3</v>
      </c>
      <c r="F533" s="1251" t="s">
        <v>2031</v>
      </c>
      <c r="G533" s="1252" t="s">
        <v>2585</v>
      </c>
      <c r="H533" s="1253">
        <v>63</v>
      </c>
      <c r="I533" s="1248" t="s">
        <v>207</v>
      </c>
      <c r="J533" s="1253">
        <v>6.3</v>
      </c>
      <c r="K533" s="1248" t="s">
        <v>2837</v>
      </c>
    </row>
    <row r="534" spans="1:11" s="1234" customFormat="1" ht="25.5">
      <c r="A534" s="1248">
        <v>37</v>
      </c>
      <c r="B534" s="1252" t="s">
        <v>2586</v>
      </c>
      <c r="C534" s="1250">
        <v>23</v>
      </c>
      <c r="D534" s="1248" t="s">
        <v>207</v>
      </c>
      <c r="E534" s="1250">
        <v>2.2999999999999998</v>
      </c>
      <c r="F534" s="1251" t="s">
        <v>2031</v>
      </c>
      <c r="G534" s="1252"/>
      <c r="H534" s="1253"/>
      <c r="I534" s="1248"/>
      <c r="J534" s="1253"/>
      <c r="K534" s="1248" t="s">
        <v>2838</v>
      </c>
    </row>
    <row r="535" spans="1:11" s="1234" customFormat="1" ht="25.5">
      <c r="A535" s="1248">
        <v>38</v>
      </c>
      <c r="B535" s="1252" t="s">
        <v>2587</v>
      </c>
      <c r="C535" s="1250">
        <v>60</v>
      </c>
      <c r="D535" s="1248" t="s">
        <v>207</v>
      </c>
      <c r="E535" s="1250">
        <v>6</v>
      </c>
      <c r="F535" s="1251" t="s">
        <v>2031</v>
      </c>
      <c r="G535" s="1252" t="s">
        <v>2587</v>
      </c>
      <c r="H535" s="1253">
        <v>60</v>
      </c>
      <c r="I535" s="1248" t="s">
        <v>207</v>
      </c>
      <c r="J535" s="1253">
        <v>6</v>
      </c>
      <c r="K535" s="1248" t="s">
        <v>2837</v>
      </c>
    </row>
    <row r="536" spans="1:11" s="1234" customFormat="1" ht="25.5">
      <c r="A536" s="1248">
        <v>39</v>
      </c>
      <c r="B536" s="1252" t="s">
        <v>2588</v>
      </c>
      <c r="C536" s="1250">
        <v>45</v>
      </c>
      <c r="D536" s="1248" t="s">
        <v>207</v>
      </c>
      <c r="E536" s="1250">
        <v>4.5</v>
      </c>
      <c r="F536" s="1251" t="s">
        <v>2031</v>
      </c>
      <c r="G536" s="1252" t="s">
        <v>2588</v>
      </c>
      <c r="H536" s="1253">
        <v>45</v>
      </c>
      <c r="I536" s="1248" t="s">
        <v>207</v>
      </c>
      <c r="J536" s="1253">
        <v>4.5</v>
      </c>
      <c r="K536" s="1248" t="s">
        <v>2837</v>
      </c>
    </row>
    <row r="537" spans="1:11" s="1234" customFormat="1">
      <c r="A537" s="1248">
        <v>40</v>
      </c>
      <c r="B537" s="1252" t="s">
        <v>2589</v>
      </c>
      <c r="C537" s="1250">
        <v>120</v>
      </c>
      <c r="D537" s="1248" t="s">
        <v>207</v>
      </c>
      <c r="E537" s="1250">
        <v>12</v>
      </c>
      <c r="F537" s="1251" t="s">
        <v>2031</v>
      </c>
      <c r="G537" s="1252" t="s">
        <v>2589</v>
      </c>
      <c r="H537" s="1253">
        <v>120</v>
      </c>
      <c r="I537" s="1248" t="s">
        <v>207</v>
      </c>
      <c r="J537" s="1253">
        <v>12</v>
      </c>
      <c r="K537" s="1248" t="s">
        <v>2837</v>
      </c>
    </row>
    <row r="538" spans="1:11" s="1234" customFormat="1" ht="25.5">
      <c r="A538" s="1248">
        <v>41</v>
      </c>
      <c r="B538" s="1252" t="s">
        <v>2590</v>
      </c>
      <c r="C538" s="1250">
        <v>120</v>
      </c>
      <c r="D538" s="1248" t="s">
        <v>207</v>
      </c>
      <c r="E538" s="1250">
        <v>12</v>
      </c>
      <c r="F538" s="1251" t="s">
        <v>2031</v>
      </c>
      <c r="G538" s="1252" t="s">
        <v>2590</v>
      </c>
      <c r="H538" s="1253">
        <v>120</v>
      </c>
      <c r="I538" s="1248" t="s">
        <v>207</v>
      </c>
      <c r="J538" s="1253">
        <v>12</v>
      </c>
      <c r="K538" s="1248" t="s">
        <v>2837</v>
      </c>
    </row>
    <row r="539" spans="1:11" s="1234" customFormat="1" ht="25.5">
      <c r="A539" s="1248">
        <v>42</v>
      </c>
      <c r="B539" s="1252" t="s">
        <v>2591</v>
      </c>
      <c r="C539" s="1250">
        <v>100</v>
      </c>
      <c r="D539" s="1248" t="s">
        <v>207</v>
      </c>
      <c r="E539" s="1250">
        <v>10</v>
      </c>
      <c r="F539" s="1251" t="s">
        <v>2031</v>
      </c>
      <c r="G539" s="1252" t="s">
        <v>2591</v>
      </c>
      <c r="H539" s="1253">
        <v>100</v>
      </c>
      <c r="I539" s="1248" t="s">
        <v>207</v>
      </c>
      <c r="J539" s="1253">
        <v>10</v>
      </c>
      <c r="K539" s="1248" t="s">
        <v>2837</v>
      </c>
    </row>
    <row r="540" spans="1:11" s="1234" customFormat="1">
      <c r="A540" s="1248">
        <v>43</v>
      </c>
      <c r="B540" s="1252" t="s">
        <v>2592</v>
      </c>
      <c r="C540" s="1250">
        <v>45</v>
      </c>
      <c r="D540" s="1248" t="s">
        <v>207</v>
      </c>
      <c r="E540" s="1250">
        <v>4.5</v>
      </c>
      <c r="F540" s="1251" t="s">
        <v>2031</v>
      </c>
      <c r="G540" s="1252" t="s">
        <v>2592</v>
      </c>
      <c r="H540" s="1253">
        <v>45</v>
      </c>
      <c r="I540" s="1248" t="s">
        <v>207</v>
      </c>
      <c r="J540" s="1253">
        <v>4.5</v>
      </c>
      <c r="K540" s="1248" t="s">
        <v>2837</v>
      </c>
    </row>
    <row r="541" spans="1:11" s="1234" customFormat="1" ht="25.5">
      <c r="A541" s="1248">
        <v>44</v>
      </c>
      <c r="B541" s="1252" t="s">
        <v>2593</v>
      </c>
      <c r="C541" s="1250">
        <v>80</v>
      </c>
      <c r="D541" s="1248" t="s">
        <v>207</v>
      </c>
      <c r="E541" s="1250">
        <v>8</v>
      </c>
      <c r="F541" s="1251" t="s">
        <v>2031</v>
      </c>
      <c r="G541" s="1252" t="s">
        <v>2593</v>
      </c>
      <c r="H541" s="1253">
        <v>80</v>
      </c>
      <c r="I541" s="1248" t="s">
        <v>207</v>
      </c>
      <c r="J541" s="1253">
        <v>8</v>
      </c>
      <c r="K541" s="1248" t="s">
        <v>2837</v>
      </c>
    </row>
    <row r="542" spans="1:11" s="1234" customFormat="1" ht="25.5">
      <c r="A542" s="1248">
        <v>45</v>
      </c>
      <c r="B542" s="1252" t="s">
        <v>2594</v>
      </c>
      <c r="C542" s="1250">
        <v>80</v>
      </c>
      <c r="D542" s="1248" t="s">
        <v>207</v>
      </c>
      <c r="E542" s="1250">
        <v>8</v>
      </c>
      <c r="F542" s="1251" t="s">
        <v>2031</v>
      </c>
      <c r="G542" s="1252" t="s">
        <v>2594</v>
      </c>
      <c r="H542" s="1253">
        <v>80</v>
      </c>
      <c r="I542" s="1248" t="s">
        <v>207</v>
      </c>
      <c r="J542" s="1253">
        <v>8</v>
      </c>
      <c r="K542" s="1248" t="s">
        <v>2837</v>
      </c>
    </row>
    <row r="543" spans="1:11" s="1234" customFormat="1">
      <c r="A543" s="1248">
        <v>46</v>
      </c>
      <c r="B543" s="1252" t="s">
        <v>2595</v>
      </c>
      <c r="C543" s="1250">
        <v>30</v>
      </c>
      <c r="D543" s="1248" t="s">
        <v>207</v>
      </c>
      <c r="E543" s="1250">
        <v>3</v>
      </c>
      <c r="F543" s="1251" t="s">
        <v>2031</v>
      </c>
      <c r="G543" s="1252" t="s">
        <v>2595</v>
      </c>
      <c r="H543" s="1253">
        <v>30</v>
      </c>
      <c r="I543" s="1248" t="s">
        <v>207</v>
      </c>
      <c r="J543" s="1253">
        <v>3</v>
      </c>
      <c r="K543" s="1248" t="s">
        <v>2837</v>
      </c>
    </row>
    <row r="544" spans="1:11" s="1234" customFormat="1" ht="25.5">
      <c r="A544" s="1248">
        <v>47</v>
      </c>
      <c r="B544" s="1252" t="s">
        <v>2596</v>
      </c>
      <c r="C544" s="1250">
        <v>50</v>
      </c>
      <c r="D544" s="1248" t="s">
        <v>207</v>
      </c>
      <c r="E544" s="1250">
        <v>5</v>
      </c>
      <c r="F544" s="1251" t="s">
        <v>2031</v>
      </c>
      <c r="G544" s="1252"/>
      <c r="H544" s="1253"/>
      <c r="I544" s="1248"/>
      <c r="J544" s="1253"/>
      <c r="K544" s="1248" t="s">
        <v>2838</v>
      </c>
    </row>
    <row r="545" spans="1:11" s="1234" customFormat="1" ht="25.5">
      <c r="A545" s="1248">
        <v>48</v>
      </c>
      <c r="B545" s="1252" t="s">
        <v>2597</v>
      </c>
      <c r="C545" s="1250">
        <v>100</v>
      </c>
      <c r="D545" s="1248" t="s">
        <v>207</v>
      </c>
      <c r="E545" s="1250">
        <v>10</v>
      </c>
      <c r="F545" s="1251" t="s">
        <v>2031</v>
      </c>
      <c r="G545" s="1252" t="s">
        <v>2597</v>
      </c>
      <c r="H545" s="1253">
        <v>100</v>
      </c>
      <c r="I545" s="1248" t="s">
        <v>207</v>
      </c>
      <c r="J545" s="1253">
        <v>10</v>
      </c>
      <c r="K545" s="1248" t="s">
        <v>2837</v>
      </c>
    </row>
    <row r="546" spans="1:11" s="1234" customFormat="1">
      <c r="A546" s="1248">
        <v>49</v>
      </c>
      <c r="B546" s="1252" t="s">
        <v>2598</v>
      </c>
      <c r="C546" s="1250">
        <v>57</v>
      </c>
      <c r="D546" s="1248" t="s">
        <v>207</v>
      </c>
      <c r="E546" s="1250">
        <v>5.7</v>
      </c>
      <c r="F546" s="1251" t="s">
        <v>2031</v>
      </c>
      <c r="G546" s="1252" t="s">
        <v>2598</v>
      </c>
      <c r="H546" s="1253">
        <v>57</v>
      </c>
      <c r="I546" s="1248" t="s">
        <v>207</v>
      </c>
      <c r="J546" s="1253">
        <v>5.7</v>
      </c>
      <c r="K546" s="1248" t="s">
        <v>2837</v>
      </c>
    </row>
    <row r="547" spans="1:11" s="1234" customFormat="1" ht="25.5">
      <c r="A547" s="1248">
        <v>50</v>
      </c>
      <c r="B547" s="1252" t="s">
        <v>2599</v>
      </c>
      <c r="C547" s="1250">
        <v>95</v>
      </c>
      <c r="D547" s="1248" t="s">
        <v>207</v>
      </c>
      <c r="E547" s="1250">
        <v>9.5</v>
      </c>
      <c r="F547" s="1251" t="s">
        <v>2031</v>
      </c>
      <c r="G547" s="1252" t="s">
        <v>2599</v>
      </c>
      <c r="H547" s="1253">
        <v>95</v>
      </c>
      <c r="I547" s="1248" t="s">
        <v>207</v>
      </c>
      <c r="J547" s="1253">
        <v>9.5</v>
      </c>
      <c r="K547" s="1248" t="s">
        <v>2837</v>
      </c>
    </row>
    <row r="548" spans="1:11" s="1234" customFormat="1">
      <c r="A548" s="1248">
        <v>51</v>
      </c>
      <c r="B548" s="1252" t="s">
        <v>2600</v>
      </c>
      <c r="C548" s="1250">
        <v>62</v>
      </c>
      <c r="D548" s="1248" t="s">
        <v>207</v>
      </c>
      <c r="E548" s="1250">
        <v>6.2</v>
      </c>
      <c r="F548" s="1251" t="s">
        <v>2031</v>
      </c>
      <c r="G548" s="1252" t="s">
        <v>2600</v>
      </c>
      <c r="H548" s="1253">
        <v>62</v>
      </c>
      <c r="I548" s="1248" t="s">
        <v>207</v>
      </c>
      <c r="J548" s="1253">
        <v>6.2</v>
      </c>
      <c r="K548" s="1248" t="s">
        <v>2837</v>
      </c>
    </row>
    <row r="549" spans="1:11" s="1234" customFormat="1" ht="25.5">
      <c r="A549" s="1248">
        <v>52</v>
      </c>
      <c r="B549" s="1252" t="s">
        <v>2601</v>
      </c>
      <c r="C549" s="1250">
        <v>45</v>
      </c>
      <c r="D549" s="1248" t="s">
        <v>207</v>
      </c>
      <c r="E549" s="1250">
        <v>4.5</v>
      </c>
      <c r="F549" s="1251" t="s">
        <v>2031</v>
      </c>
      <c r="G549" s="1252" t="s">
        <v>2601</v>
      </c>
      <c r="H549" s="1253">
        <v>45</v>
      </c>
      <c r="I549" s="1248" t="s">
        <v>207</v>
      </c>
      <c r="J549" s="1253">
        <v>4.5</v>
      </c>
      <c r="K549" s="1248" t="s">
        <v>2837</v>
      </c>
    </row>
    <row r="550" spans="1:11" s="1234" customFormat="1">
      <c r="A550" s="1248">
        <v>53</v>
      </c>
      <c r="B550" s="1252" t="s">
        <v>2602</v>
      </c>
      <c r="C550" s="1250">
        <v>84</v>
      </c>
      <c r="D550" s="1248" t="s">
        <v>207</v>
      </c>
      <c r="E550" s="1250">
        <v>8.4</v>
      </c>
      <c r="F550" s="1251" t="s">
        <v>2031</v>
      </c>
      <c r="G550" s="1252" t="s">
        <v>2602</v>
      </c>
      <c r="H550" s="1253">
        <v>84</v>
      </c>
      <c r="I550" s="1248" t="s">
        <v>207</v>
      </c>
      <c r="J550" s="1253">
        <v>8.4</v>
      </c>
      <c r="K550" s="1248" t="s">
        <v>2837</v>
      </c>
    </row>
    <row r="551" spans="1:11" s="1234" customFormat="1" ht="25.5">
      <c r="A551" s="1248">
        <v>54</v>
      </c>
      <c r="B551" s="1252" t="s">
        <v>2603</v>
      </c>
      <c r="C551" s="1250">
        <v>100</v>
      </c>
      <c r="D551" s="1248" t="s">
        <v>207</v>
      </c>
      <c r="E551" s="1250">
        <v>10</v>
      </c>
      <c r="F551" s="1251" t="s">
        <v>2031</v>
      </c>
      <c r="G551" s="1252" t="s">
        <v>2603</v>
      </c>
      <c r="H551" s="1253">
        <v>100</v>
      </c>
      <c r="I551" s="1248" t="s">
        <v>207</v>
      </c>
      <c r="J551" s="1253">
        <v>10</v>
      </c>
      <c r="K551" s="1248" t="s">
        <v>2837</v>
      </c>
    </row>
    <row r="552" spans="1:11" s="1234" customFormat="1" ht="25.5">
      <c r="A552" s="1248">
        <v>55</v>
      </c>
      <c r="B552" s="1252" t="s">
        <v>2604</v>
      </c>
      <c r="C552" s="1250">
        <v>60</v>
      </c>
      <c r="D552" s="1248" t="s">
        <v>207</v>
      </c>
      <c r="E552" s="1250">
        <v>6</v>
      </c>
      <c r="F552" s="1251" t="s">
        <v>2031</v>
      </c>
      <c r="G552" s="1252" t="s">
        <v>2604</v>
      </c>
      <c r="H552" s="1253">
        <v>60</v>
      </c>
      <c r="I552" s="1248" t="s">
        <v>207</v>
      </c>
      <c r="J552" s="1253">
        <v>6</v>
      </c>
      <c r="K552" s="1248" t="s">
        <v>2837</v>
      </c>
    </row>
    <row r="553" spans="1:11" s="1234" customFormat="1" ht="25.5">
      <c r="A553" s="1248">
        <v>56</v>
      </c>
      <c r="B553" s="1252" t="s">
        <v>2605</v>
      </c>
      <c r="C553" s="1250">
        <v>50</v>
      </c>
      <c r="D553" s="1248" t="s">
        <v>207</v>
      </c>
      <c r="E553" s="1250">
        <v>5</v>
      </c>
      <c r="F553" s="1251" t="s">
        <v>2031</v>
      </c>
      <c r="G553" s="1252"/>
      <c r="H553" s="1253"/>
      <c r="I553" s="1248"/>
      <c r="J553" s="1253"/>
      <c r="K553" s="1248" t="s">
        <v>2838</v>
      </c>
    </row>
    <row r="554" spans="1:11" s="1234" customFormat="1" ht="25.5">
      <c r="A554" s="1248">
        <v>57</v>
      </c>
      <c r="B554" s="1252" t="s">
        <v>2606</v>
      </c>
      <c r="C554" s="1250">
        <v>40</v>
      </c>
      <c r="D554" s="1248" t="s">
        <v>207</v>
      </c>
      <c r="E554" s="1250">
        <v>4</v>
      </c>
      <c r="F554" s="1251" t="s">
        <v>2031</v>
      </c>
      <c r="G554" s="1252" t="s">
        <v>2606</v>
      </c>
      <c r="H554" s="1253">
        <v>40</v>
      </c>
      <c r="I554" s="1248" t="s">
        <v>207</v>
      </c>
      <c r="J554" s="1253">
        <v>4</v>
      </c>
      <c r="K554" s="1248" t="s">
        <v>2837</v>
      </c>
    </row>
    <row r="555" spans="1:11" s="1234" customFormat="1" ht="25.5">
      <c r="A555" s="1248">
        <v>58</v>
      </c>
      <c r="B555" s="1252" t="s">
        <v>2607</v>
      </c>
      <c r="C555" s="1250">
        <v>130</v>
      </c>
      <c r="D555" s="1248" t="s">
        <v>207</v>
      </c>
      <c r="E555" s="1250">
        <v>13</v>
      </c>
      <c r="F555" s="1251" t="s">
        <v>2031</v>
      </c>
      <c r="G555" s="1252" t="s">
        <v>2607</v>
      </c>
      <c r="H555" s="1253">
        <v>130</v>
      </c>
      <c r="I555" s="1248" t="s">
        <v>207</v>
      </c>
      <c r="J555" s="1253">
        <v>13</v>
      </c>
      <c r="K555" s="1248" t="s">
        <v>2837</v>
      </c>
    </row>
    <row r="556" spans="1:11" s="1234" customFormat="1" ht="25.5">
      <c r="A556" s="1248">
        <v>59</v>
      </c>
      <c r="B556" s="1252" t="s">
        <v>2608</v>
      </c>
      <c r="C556" s="1250">
        <v>150</v>
      </c>
      <c r="D556" s="1248" t="s">
        <v>207</v>
      </c>
      <c r="E556" s="1250">
        <v>15</v>
      </c>
      <c r="F556" s="1251" t="s">
        <v>2031</v>
      </c>
      <c r="G556" s="1252" t="s">
        <v>2608</v>
      </c>
      <c r="H556" s="1253">
        <v>150</v>
      </c>
      <c r="I556" s="1248" t="s">
        <v>207</v>
      </c>
      <c r="J556" s="1253">
        <v>15</v>
      </c>
      <c r="K556" s="1248" t="s">
        <v>2837</v>
      </c>
    </row>
    <row r="557" spans="1:11" s="1234" customFormat="1">
      <c r="A557" s="1248">
        <v>60</v>
      </c>
      <c r="B557" s="1252" t="s">
        <v>2609</v>
      </c>
      <c r="C557" s="1250">
        <v>70</v>
      </c>
      <c r="D557" s="1248" t="s">
        <v>207</v>
      </c>
      <c r="E557" s="1250">
        <v>7</v>
      </c>
      <c r="F557" s="1251" t="s">
        <v>2031</v>
      </c>
      <c r="G557" s="1252" t="s">
        <v>2609</v>
      </c>
      <c r="H557" s="1253">
        <v>70</v>
      </c>
      <c r="I557" s="1248" t="s">
        <v>207</v>
      </c>
      <c r="J557" s="1253">
        <v>7</v>
      </c>
      <c r="K557" s="1248" t="s">
        <v>2837</v>
      </c>
    </row>
    <row r="558" spans="1:11" s="1234" customFormat="1" ht="25.5">
      <c r="A558" s="1248">
        <v>61</v>
      </c>
      <c r="B558" s="1252" t="s">
        <v>2610</v>
      </c>
      <c r="C558" s="1250">
        <v>90</v>
      </c>
      <c r="D558" s="1248" t="s">
        <v>207</v>
      </c>
      <c r="E558" s="1250">
        <v>9</v>
      </c>
      <c r="F558" s="1251" t="s">
        <v>2031</v>
      </c>
      <c r="G558" s="1252" t="s">
        <v>2610</v>
      </c>
      <c r="H558" s="1253">
        <v>90</v>
      </c>
      <c r="I558" s="1248" t="s">
        <v>207</v>
      </c>
      <c r="J558" s="1253">
        <v>9</v>
      </c>
      <c r="K558" s="1248" t="s">
        <v>2837</v>
      </c>
    </row>
    <row r="559" spans="1:11" s="1234" customFormat="1" ht="25.5">
      <c r="A559" s="1248">
        <v>62</v>
      </c>
      <c r="B559" s="1252" t="s">
        <v>2611</v>
      </c>
      <c r="C559" s="1250">
        <v>70</v>
      </c>
      <c r="D559" s="1248" t="s">
        <v>207</v>
      </c>
      <c r="E559" s="1250">
        <v>7</v>
      </c>
      <c r="F559" s="1251" t="s">
        <v>2031</v>
      </c>
      <c r="G559" s="1252" t="s">
        <v>2611</v>
      </c>
      <c r="H559" s="1253">
        <v>70</v>
      </c>
      <c r="I559" s="1248" t="s">
        <v>207</v>
      </c>
      <c r="J559" s="1253">
        <v>7</v>
      </c>
      <c r="K559" s="1248" t="s">
        <v>2837</v>
      </c>
    </row>
    <row r="560" spans="1:11" s="1234" customFormat="1" ht="25.5">
      <c r="A560" s="1248">
        <v>63</v>
      </c>
      <c r="B560" s="1252" t="s">
        <v>2612</v>
      </c>
      <c r="C560" s="1250">
        <v>62</v>
      </c>
      <c r="D560" s="1248" t="s">
        <v>207</v>
      </c>
      <c r="E560" s="1250">
        <v>6.2</v>
      </c>
      <c r="F560" s="1251" t="s">
        <v>2031</v>
      </c>
      <c r="G560" s="1252"/>
      <c r="H560" s="1253"/>
      <c r="I560" s="1248"/>
      <c r="J560" s="1253"/>
      <c r="K560" s="1248" t="s">
        <v>2838</v>
      </c>
    </row>
    <row r="561" spans="1:11" s="1234" customFormat="1" ht="25.5">
      <c r="A561" s="1248">
        <v>64</v>
      </c>
      <c r="B561" s="1252" t="s">
        <v>2613</v>
      </c>
      <c r="C561" s="1250">
        <v>55</v>
      </c>
      <c r="D561" s="1248" t="s">
        <v>207</v>
      </c>
      <c r="E561" s="1250">
        <v>5.5</v>
      </c>
      <c r="F561" s="1251" t="s">
        <v>2031</v>
      </c>
      <c r="G561" s="1252" t="s">
        <v>2613</v>
      </c>
      <c r="H561" s="1253">
        <v>55</v>
      </c>
      <c r="I561" s="1248" t="s">
        <v>207</v>
      </c>
      <c r="J561" s="1253">
        <v>5.5</v>
      </c>
      <c r="K561" s="1248" t="s">
        <v>2837</v>
      </c>
    </row>
    <row r="562" spans="1:11" s="1234" customFormat="1" ht="25.5">
      <c r="A562" s="1248">
        <v>65</v>
      </c>
      <c r="B562" s="1252" t="s">
        <v>2614</v>
      </c>
      <c r="C562" s="1250">
        <v>75</v>
      </c>
      <c r="D562" s="1248" t="s">
        <v>207</v>
      </c>
      <c r="E562" s="1250">
        <v>7.5</v>
      </c>
      <c r="F562" s="1251" t="s">
        <v>2031</v>
      </c>
      <c r="G562" s="1252" t="s">
        <v>2614</v>
      </c>
      <c r="H562" s="1253">
        <v>75</v>
      </c>
      <c r="I562" s="1248" t="s">
        <v>207</v>
      </c>
      <c r="J562" s="1253">
        <v>7.5</v>
      </c>
      <c r="K562" s="1248" t="s">
        <v>2837</v>
      </c>
    </row>
    <row r="563" spans="1:11" s="1234" customFormat="1" ht="25.5">
      <c r="A563" s="1248">
        <v>66</v>
      </c>
      <c r="B563" s="1252" t="s">
        <v>2615</v>
      </c>
      <c r="C563" s="1250">
        <v>30</v>
      </c>
      <c r="D563" s="1248" t="s">
        <v>207</v>
      </c>
      <c r="E563" s="1250">
        <v>3</v>
      </c>
      <c r="F563" s="1251" t="s">
        <v>2031</v>
      </c>
      <c r="G563" s="1252" t="s">
        <v>2615</v>
      </c>
      <c r="H563" s="1253">
        <v>30</v>
      </c>
      <c r="I563" s="1248" t="s">
        <v>207</v>
      </c>
      <c r="J563" s="1253">
        <v>3</v>
      </c>
      <c r="K563" s="1248" t="s">
        <v>2837</v>
      </c>
    </row>
    <row r="564" spans="1:11" s="1234" customFormat="1" ht="25.5">
      <c r="A564" s="1248">
        <v>67</v>
      </c>
      <c r="B564" s="1252" t="s">
        <v>2616</v>
      </c>
      <c r="C564" s="1250">
        <v>70</v>
      </c>
      <c r="D564" s="1248" t="s">
        <v>207</v>
      </c>
      <c r="E564" s="1250">
        <v>7</v>
      </c>
      <c r="F564" s="1251" t="s">
        <v>2031</v>
      </c>
      <c r="G564" s="1252" t="s">
        <v>2616</v>
      </c>
      <c r="H564" s="1253">
        <v>70</v>
      </c>
      <c r="I564" s="1248" t="s">
        <v>207</v>
      </c>
      <c r="J564" s="1253">
        <v>7</v>
      </c>
      <c r="K564" s="1248" t="s">
        <v>2837</v>
      </c>
    </row>
    <row r="565" spans="1:11" s="1234" customFormat="1" ht="25.5">
      <c r="A565" s="1248">
        <v>68</v>
      </c>
      <c r="B565" s="1252" t="s">
        <v>2617</v>
      </c>
      <c r="C565" s="1250">
        <v>80</v>
      </c>
      <c r="D565" s="1248" t="s">
        <v>207</v>
      </c>
      <c r="E565" s="1250">
        <v>8</v>
      </c>
      <c r="F565" s="1251" t="s">
        <v>2031</v>
      </c>
      <c r="G565" s="1252" t="s">
        <v>2617</v>
      </c>
      <c r="H565" s="1253">
        <v>80</v>
      </c>
      <c r="I565" s="1248" t="s">
        <v>207</v>
      </c>
      <c r="J565" s="1253">
        <v>8</v>
      </c>
      <c r="K565" s="1248" t="s">
        <v>2837</v>
      </c>
    </row>
    <row r="566" spans="1:11" s="1234" customFormat="1" ht="25.5">
      <c r="A566" s="1248">
        <v>69</v>
      </c>
      <c r="B566" s="1252" t="s">
        <v>2618</v>
      </c>
      <c r="C566" s="1250">
        <v>100</v>
      </c>
      <c r="D566" s="1248" t="s">
        <v>207</v>
      </c>
      <c r="E566" s="1250">
        <v>10</v>
      </c>
      <c r="F566" s="1251" t="s">
        <v>2031</v>
      </c>
      <c r="G566" s="1252" t="s">
        <v>2618</v>
      </c>
      <c r="H566" s="1253">
        <v>100</v>
      </c>
      <c r="I566" s="1248" t="s">
        <v>207</v>
      </c>
      <c r="J566" s="1253">
        <v>10</v>
      </c>
      <c r="K566" s="1248" t="s">
        <v>2837</v>
      </c>
    </row>
    <row r="567" spans="1:11" s="1234" customFormat="1">
      <c r="A567" s="1248">
        <v>70</v>
      </c>
      <c r="B567" s="1252" t="s">
        <v>2619</v>
      </c>
      <c r="C567" s="1250">
        <v>100</v>
      </c>
      <c r="D567" s="1248" t="s">
        <v>207</v>
      </c>
      <c r="E567" s="1250">
        <v>10</v>
      </c>
      <c r="F567" s="1251" t="s">
        <v>2031</v>
      </c>
      <c r="G567" s="1252" t="s">
        <v>2619</v>
      </c>
      <c r="H567" s="1253">
        <v>100</v>
      </c>
      <c r="I567" s="1248" t="s">
        <v>207</v>
      </c>
      <c r="J567" s="1253">
        <v>10</v>
      </c>
      <c r="K567" s="1248" t="s">
        <v>2837</v>
      </c>
    </row>
    <row r="568" spans="1:11" s="1234" customFormat="1" ht="25.5">
      <c r="A568" s="1248">
        <v>71</v>
      </c>
      <c r="B568" s="1252" t="s">
        <v>2620</v>
      </c>
      <c r="C568" s="1250">
        <v>80</v>
      </c>
      <c r="D568" s="1248" t="s">
        <v>2032</v>
      </c>
      <c r="E568" s="1250">
        <v>6.4</v>
      </c>
      <c r="F568" s="1251" t="s">
        <v>2031</v>
      </c>
      <c r="G568" s="1252" t="s">
        <v>2620</v>
      </c>
      <c r="H568" s="1253">
        <v>80</v>
      </c>
      <c r="I568" s="1248" t="s">
        <v>2032</v>
      </c>
      <c r="J568" s="1253">
        <v>6.4</v>
      </c>
      <c r="K568" s="1248" t="s">
        <v>2837</v>
      </c>
    </row>
    <row r="569" spans="1:11" s="1234" customFormat="1" ht="25.5">
      <c r="A569" s="1248">
        <v>72</v>
      </c>
      <c r="B569" s="1252" t="s">
        <v>2621</v>
      </c>
      <c r="C569" s="1250">
        <v>240</v>
      </c>
      <c r="D569" s="1248" t="s">
        <v>207</v>
      </c>
      <c r="E569" s="1250">
        <v>24</v>
      </c>
      <c r="F569" s="1251" t="s">
        <v>2031</v>
      </c>
      <c r="G569" s="1252" t="s">
        <v>2621</v>
      </c>
      <c r="H569" s="1253">
        <v>240</v>
      </c>
      <c r="I569" s="1248" t="s">
        <v>207</v>
      </c>
      <c r="J569" s="1253">
        <v>24</v>
      </c>
      <c r="K569" s="1248" t="s">
        <v>2837</v>
      </c>
    </row>
    <row r="570" spans="1:11" s="1234" customFormat="1">
      <c r="A570" s="1248">
        <v>73</v>
      </c>
      <c r="B570" s="1252" t="s">
        <v>2622</v>
      </c>
      <c r="C570" s="1250">
        <v>60</v>
      </c>
      <c r="D570" s="1248" t="s">
        <v>2032</v>
      </c>
      <c r="E570" s="1250">
        <v>4.8</v>
      </c>
      <c r="F570" s="1251" t="s">
        <v>2031</v>
      </c>
      <c r="G570" s="1252" t="s">
        <v>2622</v>
      </c>
      <c r="H570" s="1253">
        <v>60</v>
      </c>
      <c r="I570" s="1248" t="s">
        <v>2032</v>
      </c>
      <c r="J570" s="1253">
        <v>4.8</v>
      </c>
      <c r="K570" s="1248" t="s">
        <v>2837</v>
      </c>
    </row>
    <row r="571" spans="1:11" s="1234" customFormat="1" ht="25.5">
      <c r="A571" s="1248">
        <v>74</v>
      </c>
      <c r="B571" s="1252" t="s">
        <v>2623</v>
      </c>
      <c r="C571" s="1250">
        <v>60</v>
      </c>
      <c r="D571" s="1248" t="s">
        <v>207</v>
      </c>
      <c r="E571" s="1250">
        <v>6</v>
      </c>
      <c r="F571" s="1251" t="s">
        <v>2031</v>
      </c>
      <c r="G571" s="1252"/>
      <c r="H571" s="1253"/>
      <c r="I571" s="1248"/>
      <c r="J571" s="1253"/>
      <c r="K571" s="1248" t="s">
        <v>2838</v>
      </c>
    </row>
    <row r="572" spans="1:11" s="1234" customFormat="1" ht="25.5">
      <c r="A572" s="1248">
        <v>75</v>
      </c>
      <c r="B572" s="1252" t="s">
        <v>2624</v>
      </c>
      <c r="C572" s="1250">
        <v>42</v>
      </c>
      <c r="D572" s="1248" t="s">
        <v>207</v>
      </c>
      <c r="E572" s="1250">
        <v>4.2</v>
      </c>
      <c r="F572" s="1251" t="s">
        <v>2031</v>
      </c>
      <c r="G572" s="1252" t="s">
        <v>2624</v>
      </c>
      <c r="H572" s="1253">
        <v>42</v>
      </c>
      <c r="I572" s="1248" t="s">
        <v>207</v>
      </c>
      <c r="J572" s="1253">
        <v>4.2</v>
      </c>
      <c r="K572" s="1248" t="s">
        <v>2837</v>
      </c>
    </row>
    <row r="573" spans="1:11" s="1234" customFormat="1" ht="25.5">
      <c r="A573" s="1248">
        <v>76</v>
      </c>
      <c r="B573" s="1252" t="s">
        <v>2625</v>
      </c>
      <c r="C573" s="1250">
        <v>41</v>
      </c>
      <c r="D573" s="1248" t="s">
        <v>207</v>
      </c>
      <c r="E573" s="1250">
        <v>4.0999999999999996</v>
      </c>
      <c r="F573" s="1251" t="s">
        <v>2031</v>
      </c>
      <c r="G573" s="1252" t="s">
        <v>2625</v>
      </c>
      <c r="H573" s="1253">
        <v>41</v>
      </c>
      <c r="I573" s="1248" t="s">
        <v>207</v>
      </c>
      <c r="J573" s="1253">
        <v>4.0999999999999996</v>
      </c>
      <c r="K573" s="1248" t="s">
        <v>2837</v>
      </c>
    </row>
    <row r="574" spans="1:11" s="1234" customFormat="1" ht="25.5">
      <c r="A574" s="1248">
        <v>77</v>
      </c>
      <c r="B574" s="1252" t="s">
        <v>2626</v>
      </c>
      <c r="C574" s="1250">
        <v>30</v>
      </c>
      <c r="D574" s="1248" t="s">
        <v>207</v>
      </c>
      <c r="E574" s="1250">
        <v>3</v>
      </c>
      <c r="F574" s="1251" t="s">
        <v>2031</v>
      </c>
      <c r="G574" s="1252"/>
      <c r="H574" s="1253"/>
      <c r="I574" s="1248"/>
      <c r="J574" s="1253"/>
      <c r="K574" s="1248" t="s">
        <v>2838</v>
      </c>
    </row>
    <row r="575" spans="1:11" s="1234" customFormat="1" ht="25.5">
      <c r="A575" s="1248">
        <v>78</v>
      </c>
      <c r="B575" s="1252" t="s">
        <v>2627</v>
      </c>
      <c r="C575" s="1250">
        <v>150</v>
      </c>
      <c r="D575" s="1248" t="s">
        <v>207</v>
      </c>
      <c r="E575" s="1250">
        <v>15</v>
      </c>
      <c r="F575" s="1251" t="s">
        <v>2031</v>
      </c>
      <c r="G575" s="1252" t="s">
        <v>2627</v>
      </c>
      <c r="H575" s="1253">
        <v>150</v>
      </c>
      <c r="I575" s="1248" t="s">
        <v>207</v>
      </c>
      <c r="J575" s="1253">
        <v>15</v>
      </c>
      <c r="K575" s="1248" t="s">
        <v>2837</v>
      </c>
    </row>
    <row r="576" spans="1:11" s="1234" customFormat="1" ht="25.5">
      <c r="A576" s="1248">
        <v>79</v>
      </c>
      <c r="B576" s="1252" t="s">
        <v>2628</v>
      </c>
      <c r="C576" s="1250">
        <v>68</v>
      </c>
      <c r="D576" s="1248" t="s">
        <v>2032</v>
      </c>
      <c r="E576" s="1250">
        <v>5.4</v>
      </c>
      <c r="F576" s="1251" t="s">
        <v>2031</v>
      </c>
      <c r="G576" s="1252" t="s">
        <v>2628</v>
      </c>
      <c r="H576" s="1253">
        <v>68</v>
      </c>
      <c r="I576" s="1248" t="s">
        <v>2032</v>
      </c>
      <c r="J576" s="1253">
        <v>5.4</v>
      </c>
      <c r="K576" s="1248" t="s">
        <v>2837</v>
      </c>
    </row>
    <row r="577" spans="1:11" s="1234" customFormat="1" ht="25.5">
      <c r="A577" s="1248">
        <v>80</v>
      </c>
      <c r="B577" s="1252" t="s">
        <v>2629</v>
      </c>
      <c r="C577" s="1250">
        <v>24</v>
      </c>
      <c r="D577" s="1248" t="s">
        <v>207</v>
      </c>
      <c r="E577" s="1250">
        <v>2.4</v>
      </c>
      <c r="F577" s="1251" t="s">
        <v>2031</v>
      </c>
      <c r="G577" s="1252" t="s">
        <v>2629</v>
      </c>
      <c r="H577" s="1253">
        <v>24</v>
      </c>
      <c r="I577" s="1248" t="s">
        <v>207</v>
      </c>
      <c r="J577" s="1253">
        <v>2.4</v>
      </c>
      <c r="K577" s="1248" t="s">
        <v>2837</v>
      </c>
    </row>
    <row r="578" spans="1:11" s="1234" customFormat="1" ht="25.5">
      <c r="A578" s="1248">
        <v>81</v>
      </c>
      <c r="B578" s="1252" t="s">
        <v>2630</v>
      </c>
      <c r="C578" s="1250">
        <v>31</v>
      </c>
      <c r="D578" s="1248" t="s">
        <v>207</v>
      </c>
      <c r="E578" s="1250">
        <v>3.1</v>
      </c>
      <c r="F578" s="1251" t="s">
        <v>2031</v>
      </c>
      <c r="G578" s="1252" t="s">
        <v>2630</v>
      </c>
      <c r="H578" s="1253">
        <v>31</v>
      </c>
      <c r="I578" s="1248" t="s">
        <v>207</v>
      </c>
      <c r="J578" s="1253">
        <v>3.1</v>
      </c>
      <c r="K578" s="1248" t="s">
        <v>2837</v>
      </c>
    </row>
    <row r="579" spans="1:11" s="1234" customFormat="1" ht="25.5">
      <c r="A579" s="1248">
        <v>82</v>
      </c>
      <c r="B579" s="1252" t="s">
        <v>2631</v>
      </c>
      <c r="C579" s="1250">
        <v>24</v>
      </c>
      <c r="D579" s="1248" t="s">
        <v>207</v>
      </c>
      <c r="E579" s="1250">
        <v>2.4</v>
      </c>
      <c r="F579" s="1251" t="s">
        <v>2031</v>
      </c>
      <c r="G579" s="1252" t="s">
        <v>2631</v>
      </c>
      <c r="H579" s="1253">
        <v>24</v>
      </c>
      <c r="I579" s="1248" t="s">
        <v>207</v>
      </c>
      <c r="J579" s="1253">
        <v>2.4</v>
      </c>
      <c r="K579" s="1248" t="s">
        <v>2837</v>
      </c>
    </row>
    <row r="580" spans="1:11" s="1234" customFormat="1" ht="25.5">
      <c r="A580" s="1248">
        <v>83</v>
      </c>
      <c r="B580" s="1252" t="s">
        <v>2632</v>
      </c>
      <c r="C580" s="1250">
        <v>40</v>
      </c>
      <c r="D580" s="1248" t="s">
        <v>207</v>
      </c>
      <c r="E580" s="1250">
        <v>4</v>
      </c>
      <c r="F580" s="1251" t="s">
        <v>2031</v>
      </c>
      <c r="G580" s="1252" t="s">
        <v>2632</v>
      </c>
      <c r="H580" s="1253">
        <v>40</v>
      </c>
      <c r="I580" s="1248" t="s">
        <v>207</v>
      </c>
      <c r="J580" s="1253">
        <v>4</v>
      </c>
      <c r="K580" s="1248" t="s">
        <v>2837</v>
      </c>
    </row>
    <row r="581" spans="1:11" s="1234" customFormat="1" ht="25.5">
      <c r="A581" s="1248">
        <v>84</v>
      </c>
      <c r="B581" s="1252" t="s">
        <v>2633</v>
      </c>
      <c r="C581" s="1250">
        <v>100</v>
      </c>
      <c r="D581" s="1248" t="s">
        <v>207</v>
      </c>
      <c r="E581" s="1250">
        <v>10</v>
      </c>
      <c r="F581" s="1251" t="s">
        <v>2031</v>
      </c>
      <c r="G581" s="1252" t="s">
        <v>2633</v>
      </c>
      <c r="H581" s="1253">
        <v>100</v>
      </c>
      <c r="I581" s="1248" t="s">
        <v>207</v>
      </c>
      <c r="J581" s="1253">
        <v>10</v>
      </c>
      <c r="K581" s="1248" t="s">
        <v>2837</v>
      </c>
    </row>
    <row r="582" spans="1:11" s="1234" customFormat="1" ht="25.5">
      <c r="A582" s="1248">
        <v>85</v>
      </c>
      <c r="B582" s="1252" t="s">
        <v>2634</v>
      </c>
      <c r="C582" s="1250">
        <v>30</v>
      </c>
      <c r="D582" s="1248" t="s">
        <v>207</v>
      </c>
      <c r="E582" s="1250">
        <v>3</v>
      </c>
      <c r="F582" s="1251" t="s">
        <v>2031</v>
      </c>
      <c r="G582" s="1252"/>
      <c r="H582" s="1253"/>
      <c r="I582" s="1248"/>
      <c r="J582" s="1253"/>
      <c r="K582" s="1248" t="s">
        <v>2838</v>
      </c>
    </row>
    <row r="583" spans="1:11" s="1234" customFormat="1" ht="25.5">
      <c r="A583" s="1248">
        <v>86</v>
      </c>
      <c r="B583" s="1252" t="s">
        <v>2635</v>
      </c>
      <c r="C583" s="1250">
        <v>70</v>
      </c>
      <c r="D583" s="1248" t="s">
        <v>2032</v>
      </c>
      <c r="E583" s="1250">
        <v>5.6</v>
      </c>
      <c r="F583" s="1251" t="s">
        <v>2031</v>
      </c>
      <c r="G583" s="1252"/>
      <c r="H583" s="1253"/>
      <c r="I583" s="1248"/>
      <c r="J583" s="1253"/>
      <c r="K583" s="1248" t="s">
        <v>2838</v>
      </c>
    </row>
    <row r="584" spans="1:11" s="1234" customFormat="1" ht="25.5">
      <c r="A584" s="1248">
        <v>87</v>
      </c>
      <c r="B584" s="1252" t="s">
        <v>2636</v>
      </c>
      <c r="C584" s="1250">
        <v>120</v>
      </c>
      <c r="D584" s="1248" t="s">
        <v>207</v>
      </c>
      <c r="E584" s="1250">
        <v>12</v>
      </c>
      <c r="F584" s="1251" t="s">
        <v>2031</v>
      </c>
      <c r="G584" s="1252" t="s">
        <v>2636</v>
      </c>
      <c r="H584" s="1253">
        <v>120</v>
      </c>
      <c r="I584" s="1248" t="s">
        <v>207</v>
      </c>
      <c r="J584" s="1253">
        <v>12</v>
      </c>
      <c r="K584" s="1248" t="s">
        <v>2837</v>
      </c>
    </row>
    <row r="585" spans="1:11" s="1234" customFormat="1" ht="25.5">
      <c r="A585" s="1248">
        <v>88</v>
      </c>
      <c r="B585" s="1252" t="s">
        <v>2637</v>
      </c>
      <c r="C585" s="1250">
        <v>70</v>
      </c>
      <c r="D585" s="1248" t="s">
        <v>207</v>
      </c>
      <c r="E585" s="1250">
        <v>7</v>
      </c>
      <c r="F585" s="1251" t="s">
        <v>2031</v>
      </c>
      <c r="G585" s="1252" t="s">
        <v>2637</v>
      </c>
      <c r="H585" s="1253">
        <v>70</v>
      </c>
      <c r="I585" s="1248" t="s">
        <v>207</v>
      </c>
      <c r="J585" s="1253">
        <v>7</v>
      </c>
      <c r="K585" s="1248" t="s">
        <v>2837</v>
      </c>
    </row>
    <row r="586" spans="1:11" s="1234" customFormat="1" ht="25.5">
      <c r="A586" s="1248">
        <v>89</v>
      </c>
      <c r="B586" s="1252" t="s">
        <v>2638</v>
      </c>
      <c r="C586" s="1250">
        <v>50</v>
      </c>
      <c r="D586" s="1248" t="s">
        <v>207</v>
      </c>
      <c r="E586" s="1250">
        <v>5</v>
      </c>
      <c r="F586" s="1251" t="s">
        <v>2031</v>
      </c>
      <c r="G586" s="1252"/>
      <c r="H586" s="1253"/>
      <c r="I586" s="1248"/>
      <c r="J586" s="1253"/>
      <c r="K586" s="1248" t="s">
        <v>2838</v>
      </c>
    </row>
    <row r="587" spans="1:11" s="1234" customFormat="1" ht="25.5">
      <c r="A587" s="1248">
        <v>90</v>
      </c>
      <c r="B587" s="1252" t="s">
        <v>2639</v>
      </c>
      <c r="C587" s="1250">
        <v>35</v>
      </c>
      <c r="D587" s="1248" t="s">
        <v>207</v>
      </c>
      <c r="E587" s="1250">
        <v>3.5</v>
      </c>
      <c r="F587" s="1251" t="s">
        <v>2031</v>
      </c>
      <c r="G587" s="1252" t="s">
        <v>2639</v>
      </c>
      <c r="H587" s="1253">
        <v>35</v>
      </c>
      <c r="I587" s="1248" t="s">
        <v>207</v>
      </c>
      <c r="J587" s="1253">
        <v>3.5</v>
      </c>
      <c r="K587" s="1248" t="s">
        <v>2837</v>
      </c>
    </row>
    <row r="588" spans="1:11" s="1234" customFormat="1" ht="25.5">
      <c r="A588" s="1248">
        <v>91</v>
      </c>
      <c r="B588" s="1252" t="s">
        <v>2640</v>
      </c>
      <c r="C588" s="1250">
        <v>60</v>
      </c>
      <c r="D588" s="1248" t="s">
        <v>207</v>
      </c>
      <c r="E588" s="1250">
        <v>6</v>
      </c>
      <c r="F588" s="1251" t="s">
        <v>2031</v>
      </c>
      <c r="G588" s="1252" t="s">
        <v>2640</v>
      </c>
      <c r="H588" s="1253">
        <v>60</v>
      </c>
      <c r="I588" s="1248" t="s">
        <v>207</v>
      </c>
      <c r="J588" s="1253">
        <v>6</v>
      </c>
      <c r="K588" s="1248" t="s">
        <v>2837</v>
      </c>
    </row>
    <row r="589" spans="1:11" s="1234" customFormat="1" ht="25.5">
      <c r="A589" s="1248">
        <v>92</v>
      </c>
      <c r="B589" s="1252" t="s">
        <v>2641</v>
      </c>
      <c r="C589" s="1250">
        <v>60</v>
      </c>
      <c r="D589" s="1248" t="s">
        <v>207</v>
      </c>
      <c r="E589" s="1250">
        <v>6</v>
      </c>
      <c r="F589" s="1251" t="s">
        <v>2031</v>
      </c>
      <c r="G589" s="1252"/>
      <c r="H589" s="1253"/>
      <c r="I589" s="1248"/>
      <c r="J589" s="1253"/>
      <c r="K589" s="1248" t="s">
        <v>2838</v>
      </c>
    </row>
    <row r="590" spans="1:11" s="1234" customFormat="1" ht="25.5">
      <c r="A590" s="1248">
        <v>93</v>
      </c>
      <c r="B590" s="1252" t="s">
        <v>2642</v>
      </c>
      <c r="C590" s="1250">
        <v>95</v>
      </c>
      <c r="D590" s="1248" t="s">
        <v>207</v>
      </c>
      <c r="E590" s="1250">
        <v>9.5</v>
      </c>
      <c r="F590" s="1251" t="s">
        <v>2031</v>
      </c>
      <c r="G590" s="1252" t="s">
        <v>2642</v>
      </c>
      <c r="H590" s="1253">
        <v>95</v>
      </c>
      <c r="I590" s="1248" t="s">
        <v>207</v>
      </c>
      <c r="J590" s="1253">
        <v>9.5</v>
      </c>
      <c r="K590" s="1248" t="s">
        <v>2837</v>
      </c>
    </row>
    <row r="591" spans="1:11" s="1234" customFormat="1" ht="25.5">
      <c r="A591" s="1248">
        <v>94</v>
      </c>
      <c r="B591" s="1252" t="s">
        <v>2643</v>
      </c>
      <c r="C591" s="1250">
        <v>37</v>
      </c>
      <c r="D591" s="1248" t="s">
        <v>207</v>
      </c>
      <c r="E591" s="1250">
        <v>3.7</v>
      </c>
      <c r="F591" s="1251" t="s">
        <v>2031</v>
      </c>
      <c r="G591" s="1252" t="s">
        <v>2643</v>
      </c>
      <c r="H591" s="1253">
        <v>37</v>
      </c>
      <c r="I591" s="1248" t="s">
        <v>207</v>
      </c>
      <c r="J591" s="1253">
        <v>3.7</v>
      </c>
      <c r="K591" s="1248" t="s">
        <v>2837</v>
      </c>
    </row>
    <row r="592" spans="1:11" s="1234" customFormat="1" ht="25.5">
      <c r="A592" s="1248">
        <v>95</v>
      </c>
      <c r="B592" s="1252" t="s">
        <v>2644</v>
      </c>
      <c r="C592" s="1250">
        <v>50</v>
      </c>
      <c r="D592" s="1248" t="s">
        <v>207</v>
      </c>
      <c r="E592" s="1250">
        <v>5</v>
      </c>
      <c r="F592" s="1251" t="s">
        <v>2031</v>
      </c>
      <c r="G592" s="1252" t="s">
        <v>2644</v>
      </c>
      <c r="H592" s="1253">
        <v>50</v>
      </c>
      <c r="I592" s="1248" t="s">
        <v>207</v>
      </c>
      <c r="J592" s="1253">
        <v>5</v>
      </c>
      <c r="K592" s="1248" t="s">
        <v>2837</v>
      </c>
    </row>
    <row r="593" spans="1:11" s="1234" customFormat="1">
      <c r="A593" s="1248">
        <v>96</v>
      </c>
      <c r="B593" s="1252"/>
      <c r="C593" s="1250"/>
      <c r="D593" s="1248"/>
      <c r="E593" s="1250"/>
      <c r="F593" s="1251"/>
      <c r="G593" s="1252" t="s">
        <v>2885</v>
      </c>
      <c r="H593" s="1253">
        <v>35</v>
      </c>
      <c r="I593" s="1248" t="s">
        <v>207</v>
      </c>
      <c r="J593" s="1253">
        <v>3.5</v>
      </c>
      <c r="K593" s="1248" t="s">
        <v>2836</v>
      </c>
    </row>
    <row r="594" spans="1:11" s="1234" customFormat="1" ht="25.5">
      <c r="A594" s="1248">
        <v>97</v>
      </c>
      <c r="B594" s="1252"/>
      <c r="C594" s="1250"/>
      <c r="D594" s="1248"/>
      <c r="E594" s="1250"/>
      <c r="F594" s="1251"/>
      <c r="G594" s="1252" t="s">
        <v>2886</v>
      </c>
      <c r="H594" s="1253">
        <v>50</v>
      </c>
      <c r="I594" s="1248" t="s">
        <v>2032</v>
      </c>
      <c r="J594" s="1253">
        <v>4</v>
      </c>
      <c r="K594" s="1248" t="s">
        <v>2836</v>
      </c>
    </row>
    <row r="595" spans="1:11" s="1234" customFormat="1">
      <c r="A595" s="1248">
        <v>98</v>
      </c>
      <c r="B595" s="1252"/>
      <c r="C595" s="1250"/>
      <c r="D595" s="1248"/>
      <c r="E595" s="1250"/>
      <c r="F595" s="1251"/>
      <c r="G595" s="1252" t="s">
        <v>2887</v>
      </c>
      <c r="H595" s="1253">
        <v>58</v>
      </c>
      <c r="I595" s="1248" t="s">
        <v>207</v>
      </c>
      <c r="J595" s="1253">
        <v>5.8</v>
      </c>
      <c r="K595" s="1248" t="s">
        <v>2836</v>
      </c>
    </row>
    <row r="596" spans="1:11" s="1234" customFormat="1">
      <c r="A596" s="1248">
        <v>99</v>
      </c>
      <c r="B596" s="1252"/>
      <c r="C596" s="1250"/>
      <c r="D596" s="1248"/>
      <c r="E596" s="1250"/>
      <c r="F596" s="1251"/>
      <c r="G596" s="1252" t="s">
        <v>2888</v>
      </c>
      <c r="H596" s="1253">
        <v>40</v>
      </c>
      <c r="I596" s="1248" t="s">
        <v>207</v>
      </c>
      <c r="J596" s="1253">
        <v>4</v>
      </c>
      <c r="K596" s="1248" t="s">
        <v>2836</v>
      </c>
    </row>
    <row r="597" spans="1:11" s="1234" customFormat="1">
      <c r="A597" s="1248">
        <v>100</v>
      </c>
      <c r="B597" s="1252"/>
      <c r="C597" s="1250"/>
      <c r="D597" s="1248"/>
      <c r="E597" s="1250"/>
      <c r="F597" s="1251"/>
      <c r="G597" s="1252" t="s">
        <v>2889</v>
      </c>
      <c r="H597" s="1253">
        <v>30</v>
      </c>
      <c r="I597" s="1248" t="s">
        <v>207</v>
      </c>
      <c r="J597" s="1253">
        <v>3</v>
      </c>
      <c r="K597" s="1248" t="s">
        <v>2836</v>
      </c>
    </row>
    <row r="598" spans="1:11" s="1234" customFormat="1" ht="25.5">
      <c r="A598" s="1248">
        <v>101</v>
      </c>
      <c r="B598" s="1252"/>
      <c r="C598" s="1250"/>
      <c r="D598" s="1248"/>
      <c r="E598" s="1250"/>
      <c r="F598" s="1251"/>
      <c r="G598" s="1252" t="s">
        <v>2890</v>
      </c>
      <c r="H598" s="1253">
        <v>50</v>
      </c>
      <c r="I598" s="1248" t="s">
        <v>207</v>
      </c>
      <c r="J598" s="1253">
        <v>5</v>
      </c>
      <c r="K598" s="1248" t="s">
        <v>2836</v>
      </c>
    </row>
    <row r="599" spans="1:11" s="1234" customFormat="1" ht="25.5">
      <c r="A599" s="1248">
        <v>102</v>
      </c>
      <c r="B599" s="1252"/>
      <c r="C599" s="1250"/>
      <c r="D599" s="1248"/>
      <c r="E599" s="1250"/>
      <c r="F599" s="1251"/>
      <c r="G599" s="1252" t="s">
        <v>2891</v>
      </c>
      <c r="H599" s="1253">
        <v>120</v>
      </c>
      <c r="I599" s="1248" t="s">
        <v>207</v>
      </c>
      <c r="J599" s="1253">
        <v>12</v>
      </c>
      <c r="K599" s="1248" t="s">
        <v>2836</v>
      </c>
    </row>
    <row r="600" spans="1:11" s="1234" customFormat="1">
      <c r="A600" s="1248">
        <v>103</v>
      </c>
      <c r="B600" s="1252"/>
      <c r="C600" s="1250"/>
      <c r="D600" s="1248"/>
      <c r="E600" s="1250"/>
      <c r="F600" s="1251"/>
      <c r="G600" s="1252" t="s">
        <v>2892</v>
      </c>
      <c r="H600" s="1253">
        <v>23</v>
      </c>
      <c r="I600" s="1248" t="s">
        <v>207</v>
      </c>
      <c r="J600" s="1253">
        <v>2.2999999999999998</v>
      </c>
      <c r="K600" s="1248" t="s">
        <v>2836</v>
      </c>
    </row>
    <row r="601" spans="1:11" s="1234" customFormat="1">
      <c r="A601" s="1248">
        <v>104</v>
      </c>
      <c r="B601" s="1252"/>
      <c r="C601" s="1250"/>
      <c r="D601" s="1248"/>
      <c r="E601" s="1250"/>
      <c r="F601" s="1251"/>
      <c r="G601" s="1252" t="s">
        <v>2893</v>
      </c>
      <c r="H601" s="1253">
        <v>22</v>
      </c>
      <c r="I601" s="1248" t="s">
        <v>207</v>
      </c>
      <c r="J601" s="1253">
        <v>2.2000000000000002</v>
      </c>
      <c r="K601" s="1248" t="s">
        <v>2836</v>
      </c>
    </row>
    <row r="602" spans="1:11" s="1234" customFormat="1">
      <c r="A602" s="1248">
        <v>105</v>
      </c>
      <c r="B602" s="1252"/>
      <c r="C602" s="1250"/>
      <c r="D602" s="1248"/>
      <c r="E602" s="1250"/>
      <c r="F602" s="1251"/>
      <c r="G602" s="1252" t="s">
        <v>2894</v>
      </c>
      <c r="H602" s="1253">
        <v>35</v>
      </c>
      <c r="I602" s="1248" t="s">
        <v>207</v>
      </c>
      <c r="J602" s="1253">
        <v>3.5</v>
      </c>
      <c r="K602" s="1248" t="s">
        <v>2836</v>
      </c>
    </row>
    <row r="603" spans="1:11" s="1234" customFormat="1" ht="25.5">
      <c r="A603" s="1248">
        <v>106</v>
      </c>
      <c r="B603" s="1252"/>
      <c r="C603" s="1250"/>
      <c r="D603" s="1248"/>
      <c r="E603" s="1250"/>
      <c r="F603" s="1251"/>
      <c r="G603" s="1252" t="s">
        <v>2895</v>
      </c>
      <c r="H603" s="1253">
        <v>50</v>
      </c>
      <c r="I603" s="1248" t="s">
        <v>207</v>
      </c>
      <c r="J603" s="1253">
        <v>5</v>
      </c>
      <c r="K603" s="1248" t="s">
        <v>2836</v>
      </c>
    </row>
    <row r="604" spans="1:11" s="1234" customFormat="1" ht="25.5">
      <c r="A604" s="1248">
        <v>107</v>
      </c>
      <c r="B604" s="1252"/>
      <c r="C604" s="1250"/>
      <c r="D604" s="1248"/>
      <c r="E604" s="1250"/>
      <c r="F604" s="1251"/>
      <c r="G604" s="1252" t="s">
        <v>2896</v>
      </c>
      <c r="H604" s="1253">
        <v>50</v>
      </c>
      <c r="I604" s="1248" t="s">
        <v>207</v>
      </c>
      <c r="J604" s="1253">
        <v>5</v>
      </c>
      <c r="K604" s="1248" t="s">
        <v>2836</v>
      </c>
    </row>
    <row r="605" spans="1:11" s="1234" customFormat="1" ht="25.5">
      <c r="A605" s="1248">
        <v>108</v>
      </c>
      <c r="B605" s="1252"/>
      <c r="C605" s="1250"/>
      <c r="D605" s="1248"/>
      <c r="E605" s="1250"/>
      <c r="F605" s="1251"/>
      <c r="G605" s="1252" t="s">
        <v>2897</v>
      </c>
      <c r="H605" s="1253">
        <v>50</v>
      </c>
      <c r="I605" s="1248" t="s">
        <v>207</v>
      </c>
      <c r="J605" s="1253">
        <v>5</v>
      </c>
      <c r="K605" s="1248" t="s">
        <v>2836</v>
      </c>
    </row>
    <row r="606" spans="1:11" s="1234" customFormat="1" ht="25.5">
      <c r="A606" s="1248">
        <v>109</v>
      </c>
      <c r="B606" s="1252"/>
      <c r="C606" s="1250"/>
      <c r="D606" s="1248"/>
      <c r="E606" s="1250"/>
      <c r="F606" s="1251"/>
      <c r="G606" s="1252" t="s">
        <v>2898</v>
      </c>
      <c r="H606" s="1253">
        <v>56</v>
      </c>
      <c r="I606" s="1248" t="s">
        <v>207</v>
      </c>
      <c r="J606" s="1253">
        <v>5.6</v>
      </c>
      <c r="K606" s="1248" t="s">
        <v>2836</v>
      </c>
    </row>
    <row r="607" spans="1:11" s="1234" customFormat="1">
      <c r="A607" s="1248">
        <v>110</v>
      </c>
      <c r="B607" s="1252"/>
      <c r="C607" s="1250"/>
      <c r="D607" s="1248"/>
      <c r="E607" s="1250"/>
      <c r="F607" s="1251"/>
      <c r="G607" s="1252" t="s">
        <v>2899</v>
      </c>
      <c r="H607" s="1253">
        <v>62</v>
      </c>
      <c r="I607" s="1248" t="s">
        <v>207</v>
      </c>
      <c r="J607" s="1253">
        <v>6.2</v>
      </c>
      <c r="K607" s="1248" t="s">
        <v>2836</v>
      </c>
    </row>
    <row r="608" spans="1:11" s="1234" customFormat="1">
      <c r="A608" s="1248">
        <v>111</v>
      </c>
      <c r="B608" s="1252"/>
      <c r="C608" s="1250"/>
      <c r="D608" s="1248"/>
      <c r="E608" s="1250"/>
      <c r="F608" s="1251"/>
      <c r="G608" s="1252" t="s">
        <v>2900</v>
      </c>
      <c r="H608" s="1253">
        <v>30</v>
      </c>
      <c r="I608" s="1248" t="s">
        <v>207</v>
      </c>
      <c r="J608" s="1253">
        <v>3</v>
      </c>
      <c r="K608" s="1248" t="s">
        <v>2836</v>
      </c>
    </row>
    <row r="609" spans="1:11" s="1234" customFormat="1" ht="25.5">
      <c r="A609" s="1248">
        <v>112</v>
      </c>
      <c r="B609" s="1252"/>
      <c r="C609" s="1250"/>
      <c r="D609" s="1248"/>
      <c r="E609" s="1250"/>
      <c r="F609" s="1251"/>
      <c r="G609" s="1252" t="s">
        <v>2901</v>
      </c>
      <c r="H609" s="1253">
        <v>30</v>
      </c>
      <c r="I609" s="1248" t="s">
        <v>207</v>
      </c>
      <c r="J609" s="1253">
        <v>3</v>
      </c>
      <c r="K609" s="1248" t="s">
        <v>2836</v>
      </c>
    </row>
    <row r="610" spans="1:11" s="1234" customFormat="1">
      <c r="A610" s="1260"/>
      <c r="C610" s="1261"/>
      <c r="D610" s="1262"/>
      <c r="E610" s="1261"/>
      <c r="F610" s="1262"/>
      <c r="H610" s="1263"/>
      <c r="I610" s="1262"/>
      <c r="J610" s="1263"/>
      <c r="K610" s="1262"/>
    </row>
    <row r="611" spans="1:11" s="1234" customFormat="1">
      <c r="A611" s="1260"/>
      <c r="C611" s="1261"/>
      <c r="D611" s="1262"/>
      <c r="E611" s="1261"/>
      <c r="F611" s="1262"/>
      <c r="H611" s="1263"/>
      <c r="I611" s="1262"/>
      <c r="J611" s="1263"/>
      <c r="K611" s="1262"/>
    </row>
    <row r="612" spans="1:11" s="1234" customFormat="1">
      <c r="A612" s="1260"/>
      <c r="C612" s="1261"/>
      <c r="D612" s="1262"/>
      <c r="E612" s="1261"/>
      <c r="F612" s="1262"/>
      <c r="H612" s="1263"/>
      <c r="I612" s="1262"/>
      <c r="J612" s="1263"/>
      <c r="K612" s="1262"/>
    </row>
    <row r="613" spans="1:11" s="1234" customFormat="1">
      <c r="A613" s="1260"/>
      <c r="C613" s="1261"/>
      <c r="D613" s="1262"/>
      <c r="E613" s="1261"/>
      <c r="F613" s="1262"/>
      <c r="H613" s="1263"/>
      <c r="I613" s="1262"/>
      <c r="J613" s="1263"/>
      <c r="K613" s="1262"/>
    </row>
    <row r="614" spans="1:11" s="1234" customFormat="1">
      <c r="A614" s="1260"/>
      <c r="C614" s="1261"/>
      <c r="D614" s="1262"/>
      <c r="E614" s="1261"/>
      <c r="F614" s="1262"/>
      <c r="H614" s="1263"/>
      <c r="I614" s="1262"/>
      <c r="J614" s="1263"/>
      <c r="K614" s="1262"/>
    </row>
    <row r="615" spans="1:11" s="1234" customFormat="1">
      <c r="A615" s="1260"/>
      <c r="C615" s="1261"/>
      <c r="D615" s="1262"/>
      <c r="E615" s="1261"/>
      <c r="F615" s="1262"/>
      <c r="H615" s="1263"/>
      <c r="I615" s="1262"/>
      <c r="J615" s="1263"/>
      <c r="K615" s="1262"/>
    </row>
    <row r="616" spans="1:11" s="1234" customFormat="1">
      <c r="A616" s="1260"/>
      <c r="C616" s="1261"/>
      <c r="D616" s="1262"/>
      <c r="E616" s="1261"/>
      <c r="F616" s="1262"/>
      <c r="H616" s="1263"/>
      <c r="I616" s="1262"/>
      <c r="J616" s="1263"/>
      <c r="K616" s="1262"/>
    </row>
    <row r="617" spans="1:11" s="1234" customFormat="1">
      <c r="A617" s="1260"/>
      <c r="C617" s="1261"/>
      <c r="D617" s="1262"/>
      <c r="E617" s="1261"/>
      <c r="F617" s="1262"/>
      <c r="H617" s="1263"/>
      <c r="I617" s="1262"/>
      <c r="J617" s="1263"/>
      <c r="K617" s="1262"/>
    </row>
    <row r="618" spans="1:11" s="1234" customFormat="1">
      <c r="A618" s="1260"/>
      <c r="C618" s="1261"/>
      <c r="D618" s="1262"/>
      <c r="E618" s="1261"/>
      <c r="F618" s="1262"/>
      <c r="H618" s="1263"/>
      <c r="I618" s="1262"/>
      <c r="J618" s="1263"/>
      <c r="K618" s="1262"/>
    </row>
    <row r="619" spans="1:11" s="1234" customFormat="1">
      <c r="A619" s="1260"/>
      <c r="C619" s="1261"/>
      <c r="D619" s="1262"/>
      <c r="E619" s="1261"/>
      <c r="F619" s="1262"/>
      <c r="H619" s="1263"/>
      <c r="I619" s="1262"/>
      <c r="J619" s="1263"/>
      <c r="K619" s="1262"/>
    </row>
    <row r="620" spans="1:11" s="1234" customFormat="1">
      <c r="A620" s="1260"/>
      <c r="C620" s="1261"/>
      <c r="D620" s="1262"/>
      <c r="E620" s="1261"/>
      <c r="F620" s="1262"/>
      <c r="H620" s="1263"/>
      <c r="I620" s="1262"/>
      <c r="J620" s="1263"/>
      <c r="K620" s="1262"/>
    </row>
    <row r="621" spans="1:11" s="1234" customFormat="1">
      <c r="A621" s="1260"/>
      <c r="C621" s="1261"/>
      <c r="D621" s="1262"/>
      <c r="E621" s="1261"/>
      <c r="F621" s="1262"/>
      <c r="H621" s="1263"/>
      <c r="I621" s="1262"/>
      <c r="J621" s="1263"/>
      <c r="K621" s="1262"/>
    </row>
    <row r="622" spans="1:11" s="1234" customFormat="1">
      <c r="A622" s="1260"/>
      <c r="C622" s="1261"/>
      <c r="D622" s="1262"/>
      <c r="E622" s="1261"/>
      <c r="F622" s="1262"/>
      <c r="H622" s="1263"/>
      <c r="I622" s="1262"/>
      <c r="J622" s="1263"/>
      <c r="K622" s="1262"/>
    </row>
    <row r="623" spans="1:11" s="1234" customFormat="1">
      <c r="A623" s="1260"/>
      <c r="C623" s="1261"/>
      <c r="D623" s="1262"/>
      <c r="E623" s="1261"/>
      <c r="F623" s="1262"/>
      <c r="H623" s="1263"/>
      <c r="I623" s="1262"/>
      <c r="J623" s="1263"/>
      <c r="K623" s="1262"/>
    </row>
    <row r="624" spans="1:11" s="1234" customFormat="1">
      <c r="A624" s="1260"/>
      <c r="C624" s="1261"/>
      <c r="D624" s="1262"/>
      <c r="E624" s="1261"/>
      <c r="F624" s="1262"/>
      <c r="H624" s="1263"/>
      <c r="I624" s="1262"/>
      <c r="J624" s="1263"/>
      <c r="K624" s="1262"/>
    </row>
    <row r="625" spans="1:11" s="1234" customFormat="1">
      <c r="A625" s="1260"/>
      <c r="C625" s="1261"/>
      <c r="D625" s="1262"/>
      <c r="E625" s="1261"/>
      <c r="F625" s="1262"/>
      <c r="H625" s="1263"/>
      <c r="I625" s="1262"/>
      <c r="J625" s="1263"/>
      <c r="K625" s="1262"/>
    </row>
    <row r="626" spans="1:11" s="1234" customFormat="1">
      <c r="A626" s="1260"/>
      <c r="C626" s="1261"/>
      <c r="D626" s="1262"/>
      <c r="E626" s="1261"/>
      <c r="F626" s="1262"/>
      <c r="H626" s="1263"/>
      <c r="I626" s="1262"/>
      <c r="J626" s="1263"/>
      <c r="K626" s="1262"/>
    </row>
    <row r="627" spans="1:11" s="1234" customFormat="1">
      <c r="A627" s="1260"/>
      <c r="C627" s="1261"/>
      <c r="D627" s="1262"/>
      <c r="E627" s="1261"/>
      <c r="F627" s="1262"/>
      <c r="H627" s="1263"/>
      <c r="I627" s="1262"/>
      <c r="J627" s="1263"/>
      <c r="K627" s="1262"/>
    </row>
    <row r="628" spans="1:11" s="1234" customFormat="1">
      <c r="A628" s="1260"/>
      <c r="C628" s="1261"/>
      <c r="D628" s="1262"/>
      <c r="E628" s="1261"/>
      <c r="F628" s="1262"/>
      <c r="H628" s="1263"/>
      <c r="I628" s="1262"/>
      <c r="J628" s="1263"/>
      <c r="K628" s="1262"/>
    </row>
    <row r="629" spans="1:11" s="1234" customFormat="1">
      <c r="A629" s="1260"/>
      <c r="C629" s="1261"/>
      <c r="D629" s="1262"/>
      <c r="E629" s="1261"/>
      <c r="F629" s="1262"/>
      <c r="H629" s="1263"/>
      <c r="I629" s="1262"/>
      <c r="J629" s="1263"/>
      <c r="K629" s="1262"/>
    </row>
    <row r="630" spans="1:11" s="1234" customFormat="1">
      <c r="A630" s="1260"/>
      <c r="C630" s="1261"/>
      <c r="D630" s="1262"/>
      <c r="E630" s="1261"/>
      <c r="F630" s="1262"/>
      <c r="H630" s="1263"/>
      <c r="I630" s="1262"/>
      <c r="J630" s="1263"/>
      <c r="K630" s="1262"/>
    </row>
    <row r="631" spans="1:11" s="1234" customFormat="1">
      <c r="A631" s="1260"/>
      <c r="C631" s="1261"/>
      <c r="D631" s="1262"/>
      <c r="E631" s="1261"/>
      <c r="F631" s="1262"/>
      <c r="H631" s="1263"/>
      <c r="I631" s="1262"/>
      <c r="J631" s="1263"/>
      <c r="K631" s="1262"/>
    </row>
    <row r="632" spans="1:11" s="1234" customFormat="1">
      <c r="A632" s="1260"/>
      <c r="C632" s="1261"/>
      <c r="D632" s="1262"/>
      <c r="E632" s="1261"/>
      <c r="F632" s="1262"/>
      <c r="H632" s="1263"/>
      <c r="I632" s="1262"/>
      <c r="J632" s="1263"/>
      <c r="K632" s="1262"/>
    </row>
    <row r="633" spans="1:11" s="1234" customFormat="1">
      <c r="A633" s="1260"/>
      <c r="C633" s="1261"/>
      <c r="D633" s="1262"/>
      <c r="E633" s="1261"/>
      <c r="F633" s="1262"/>
      <c r="H633" s="1263"/>
      <c r="I633" s="1262"/>
      <c r="J633" s="1263"/>
      <c r="K633" s="1262"/>
    </row>
    <row r="634" spans="1:11" s="1234" customFormat="1">
      <c r="A634" s="1260"/>
      <c r="C634" s="1261"/>
      <c r="D634" s="1262"/>
      <c r="E634" s="1261"/>
      <c r="F634" s="1262"/>
      <c r="H634" s="1263"/>
      <c r="I634" s="1262"/>
      <c r="J634" s="1263"/>
      <c r="K634" s="1262"/>
    </row>
    <row r="635" spans="1:11" s="1234" customFormat="1">
      <c r="A635" s="1260"/>
      <c r="C635" s="1261"/>
      <c r="D635" s="1262"/>
      <c r="E635" s="1261"/>
      <c r="F635" s="1262"/>
      <c r="H635" s="1263"/>
      <c r="I635" s="1262"/>
      <c r="J635" s="1263"/>
      <c r="K635" s="1262"/>
    </row>
    <row r="636" spans="1:11" s="1234" customFormat="1">
      <c r="A636" s="1260"/>
      <c r="C636" s="1261"/>
      <c r="D636" s="1262"/>
      <c r="E636" s="1261"/>
      <c r="F636" s="1262"/>
      <c r="H636" s="1263"/>
      <c r="I636" s="1262"/>
      <c r="J636" s="1263"/>
      <c r="K636" s="1262"/>
    </row>
    <row r="637" spans="1:11" s="1234" customFormat="1">
      <c r="A637" s="1260"/>
      <c r="C637" s="1261"/>
      <c r="D637" s="1262"/>
      <c r="E637" s="1261"/>
      <c r="F637" s="1262"/>
      <c r="H637" s="1263"/>
      <c r="I637" s="1262"/>
      <c r="J637" s="1263"/>
      <c r="K637" s="1262"/>
    </row>
    <row r="638" spans="1:11" s="1234" customFormat="1">
      <c r="A638" s="1260"/>
      <c r="C638" s="1261"/>
      <c r="D638" s="1262"/>
      <c r="E638" s="1261"/>
      <c r="F638" s="1262"/>
      <c r="H638" s="1263"/>
      <c r="I638" s="1262"/>
      <c r="J638" s="1263"/>
      <c r="K638" s="1262"/>
    </row>
    <row r="639" spans="1:11" s="1234" customFormat="1">
      <c r="A639" s="1260"/>
      <c r="C639" s="1261"/>
      <c r="D639" s="1262"/>
      <c r="E639" s="1261"/>
      <c r="F639" s="1262"/>
      <c r="H639" s="1263"/>
      <c r="I639" s="1262"/>
      <c r="J639" s="1263"/>
      <c r="K639" s="1262"/>
    </row>
    <row r="640" spans="1:11" s="1234" customFormat="1">
      <c r="A640" s="1260"/>
      <c r="C640" s="1261"/>
      <c r="D640" s="1262"/>
      <c r="E640" s="1261"/>
      <c r="F640" s="1262"/>
      <c r="H640" s="1263"/>
      <c r="I640" s="1262"/>
      <c r="J640" s="1263"/>
      <c r="K640" s="1262"/>
    </row>
    <row r="641" spans="1:11" s="1234" customFormat="1">
      <c r="A641" s="1260"/>
      <c r="C641" s="1261"/>
      <c r="D641" s="1262"/>
      <c r="E641" s="1261"/>
      <c r="F641" s="1262"/>
      <c r="H641" s="1263"/>
      <c r="I641" s="1262"/>
      <c r="J641" s="1263"/>
      <c r="K641" s="1262"/>
    </row>
    <row r="642" spans="1:11" s="1234" customFormat="1">
      <c r="A642" s="1260"/>
      <c r="C642" s="1261"/>
      <c r="D642" s="1262"/>
      <c r="E642" s="1261"/>
      <c r="F642" s="1262"/>
      <c r="H642" s="1263"/>
      <c r="I642" s="1262"/>
      <c r="J642" s="1263"/>
      <c r="K642" s="1262"/>
    </row>
    <row r="643" spans="1:11" s="1234" customFormat="1">
      <c r="A643" s="1260"/>
      <c r="C643" s="1261"/>
      <c r="D643" s="1262"/>
      <c r="E643" s="1261"/>
      <c r="F643" s="1262"/>
      <c r="H643" s="1263"/>
      <c r="I643" s="1262"/>
      <c r="J643" s="1263"/>
      <c r="K643" s="1262"/>
    </row>
    <row r="644" spans="1:11" s="1234" customFormat="1">
      <c r="A644" s="1260"/>
      <c r="C644" s="1261"/>
      <c r="D644" s="1262"/>
      <c r="E644" s="1261"/>
      <c r="F644" s="1262"/>
      <c r="H644" s="1263"/>
      <c r="I644" s="1262"/>
      <c r="J644" s="1263"/>
      <c r="K644" s="1262"/>
    </row>
    <row r="645" spans="1:11" s="1234" customFormat="1">
      <c r="A645" s="1260"/>
      <c r="C645" s="1261"/>
      <c r="D645" s="1262"/>
      <c r="E645" s="1261"/>
      <c r="F645" s="1262"/>
      <c r="H645" s="1263"/>
      <c r="I645" s="1262"/>
      <c r="J645" s="1263"/>
      <c r="K645" s="1262"/>
    </row>
    <row r="646" spans="1:11" s="1234" customFormat="1">
      <c r="A646" s="1260"/>
      <c r="C646" s="1261"/>
      <c r="D646" s="1262"/>
      <c r="E646" s="1261"/>
      <c r="F646" s="1262"/>
      <c r="H646" s="1263"/>
      <c r="I646" s="1262"/>
      <c r="J646" s="1263"/>
      <c r="K646" s="1262"/>
    </row>
    <row r="647" spans="1:11" s="1234" customFormat="1">
      <c r="A647" s="1260"/>
      <c r="C647" s="1261"/>
      <c r="D647" s="1262"/>
      <c r="E647" s="1261"/>
      <c r="F647" s="1262"/>
      <c r="H647" s="1263"/>
      <c r="I647" s="1262"/>
      <c r="J647" s="1263"/>
      <c r="K647" s="1262"/>
    </row>
    <row r="648" spans="1:11" s="1234" customFormat="1">
      <c r="A648" s="1260"/>
      <c r="C648" s="1261"/>
      <c r="D648" s="1262"/>
      <c r="E648" s="1261"/>
      <c r="F648" s="1262"/>
      <c r="H648" s="1263"/>
      <c r="I648" s="1262"/>
      <c r="J648" s="1263"/>
      <c r="K648" s="1262"/>
    </row>
    <row r="649" spans="1:11" s="1234" customFormat="1">
      <c r="A649" s="1260"/>
      <c r="C649" s="1261"/>
      <c r="D649" s="1262"/>
      <c r="E649" s="1261"/>
      <c r="F649" s="1262"/>
      <c r="H649" s="1263"/>
      <c r="I649" s="1262"/>
      <c r="J649" s="1263"/>
      <c r="K649" s="1262"/>
    </row>
    <row r="650" spans="1:11" s="1234" customFormat="1">
      <c r="A650" s="1260"/>
      <c r="C650" s="1261"/>
      <c r="D650" s="1262"/>
      <c r="E650" s="1261"/>
      <c r="F650" s="1262"/>
      <c r="H650" s="1263"/>
      <c r="I650" s="1262"/>
      <c r="J650" s="1263"/>
      <c r="K650" s="1262"/>
    </row>
    <row r="651" spans="1:11" s="1234" customFormat="1">
      <c r="A651" s="1260"/>
      <c r="C651" s="1261"/>
      <c r="D651" s="1262"/>
      <c r="E651" s="1261"/>
      <c r="F651" s="1262"/>
      <c r="H651" s="1263"/>
      <c r="I651" s="1262"/>
      <c r="J651" s="1263"/>
      <c r="K651" s="1262"/>
    </row>
    <row r="652" spans="1:11" s="1234" customFormat="1">
      <c r="A652" s="1260"/>
      <c r="C652" s="1261"/>
      <c r="D652" s="1262"/>
      <c r="E652" s="1261"/>
      <c r="F652" s="1262"/>
      <c r="H652" s="1263"/>
      <c r="I652" s="1262"/>
      <c r="J652" s="1263"/>
      <c r="K652" s="1262"/>
    </row>
    <row r="653" spans="1:11" s="1234" customFormat="1">
      <c r="A653" s="1260"/>
      <c r="C653" s="1261"/>
      <c r="D653" s="1262"/>
      <c r="E653" s="1261"/>
      <c r="F653" s="1262"/>
      <c r="H653" s="1263"/>
      <c r="I653" s="1262"/>
      <c r="J653" s="1263"/>
      <c r="K653" s="1262"/>
    </row>
    <row r="654" spans="1:11" s="1234" customFormat="1">
      <c r="A654" s="1260"/>
      <c r="C654" s="1261"/>
      <c r="D654" s="1262"/>
      <c r="E654" s="1261"/>
      <c r="F654" s="1262"/>
      <c r="H654" s="1263"/>
      <c r="I654" s="1262"/>
      <c r="J654" s="1263"/>
      <c r="K654" s="1262"/>
    </row>
    <row r="655" spans="1:11" s="1234" customFormat="1">
      <c r="A655" s="1260"/>
      <c r="C655" s="1261"/>
      <c r="D655" s="1262"/>
      <c r="E655" s="1261"/>
      <c r="F655" s="1262"/>
      <c r="H655" s="1263"/>
      <c r="I655" s="1262"/>
      <c r="J655" s="1263"/>
      <c r="K655" s="1262"/>
    </row>
    <row r="656" spans="1:11" s="1234" customFormat="1">
      <c r="A656" s="1260"/>
      <c r="C656" s="1261"/>
      <c r="D656" s="1262"/>
      <c r="E656" s="1261"/>
      <c r="F656" s="1262"/>
      <c r="H656" s="1263"/>
      <c r="I656" s="1262"/>
      <c r="J656" s="1263"/>
      <c r="K656" s="1262"/>
    </row>
    <row r="657" spans="1:11" s="1234" customFormat="1">
      <c r="A657" s="1260"/>
      <c r="C657" s="1261"/>
      <c r="D657" s="1262"/>
      <c r="E657" s="1261"/>
      <c r="F657" s="1262"/>
      <c r="H657" s="1263"/>
      <c r="I657" s="1262"/>
      <c r="J657" s="1263"/>
      <c r="K657" s="1262"/>
    </row>
    <row r="658" spans="1:11" s="1234" customFormat="1">
      <c r="A658" s="1260"/>
      <c r="C658" s="1261"/>
      <c r="D658" s="1262"/>
      <c r="E658" s="1261"/>
      <c r="F658" s="1262"/>
      <c r="H658" s="1263"/>
      <c r="I658" s="1262"/>
      <c r="J658" s="1263"/>
      <c r="K658" s="1262"/>
    </row>
    <row r="659" spans="1:11" s="1234" customFormat="1">
      <c r="A659" s="1260"/>
      <c r="C659" s="1261"/>
      <c r="D659" s="1262"/>
      <c r="E659" s="1261"/>
      <c r="F659" s="1262"/>
      <c r="H659" s="1263"/>
      <c r="I659" s="1262"/>
      <c r="J659" s="1263"/>
      <c r="K659" s="1262"/>
    </row>
    <row r="660" spans="1:11" s="1234" customFormat="1">
      <c r="A660" s="1260"/>
      <c r="C660" s="1261"/>
      <c r="D660" s="1262"/>
      <c r="E660" s="1261"/>
      <c r="F660" s="1262"/>
      <c r="H660" s="1263"/>
      <c r="I660" s="1262"/>
      <c r="J660" s="1263"/>
      <c r="K660" s="1262"/>
    </row>
    <row r="661" spans="1:11" s="1234" customFormat="1">
      <c r="A661" s="1260"/>
      <c r="C661" s="1261"/>
      <c r="D661" s="1262"/>
      <c r="E661" s="1261"/>
      <c r="F661" s="1262"/>
      <c r="H661" s="1263"/>
      <c r="I661" s="1262"/>
      <c r="J661" s="1263"/>
      <c r="K661" s="1262"/>
    </row>
    <row r="662" spans="1:11" s="1234" customFormat="1">
      <c r="A662" s="1260"/>
      <c r="C662" s="1261"/>
      <c r="D662" s="1262"/>
      <c r="E662" s="1261"/>
      <c r="F662" s="1262"/>
      <c r="H662" s="1263"/>
      <c r="I662" s="1262"/>
      <c r="J662" s="1263"/>
      <c r="K662" s="1262"/>
    </row>
    <row r="663" spans="1:11" s="1234" customFormat="1">
      <c r="A663" s="1260"/>
      <c r="C663" s="1261"/>
      <c r="D663" s="1262"/>
      <c r="E663" s="1261"/>
      <c r="F663" s="1262"/>
      <c r="H663" s="1263"/>
      <c r="I663" s="1262"/>
      <c r="J663" s="1263"/>
      <c r="K663" s="1262"/>
    </row>
    <row r="664" spans="1:11" s="1234" customFormat="1">
      <c r="A664" s="1260"/>
      <c r="C664" s="1261"/>
      <c r="D664" s="1262"/>
      <c r="E664" s="1261"/>
      <c r="F664" s="1262"/>
      <c r="H664" s="1263"/>
      <c r="I664" s="1262"/>
      <c r="J664" s="1263"/>
      <c r="K664" s="1262"/>
    </row>
    <row r="665" spans="1:11" s="1234" customFormat="1">
      <c r="A665" s="1260"/>
      <c r="C665" s="1261"/>
      <c r="D665" s="1262"/>
      <c r="E665" s="1261"/>
      <c r="F665" s="1262"/>
      <c r="H665" s="1263"/>
      <c r="I665" s="1262"/>
      <c r="J665" s="1263"/>
      <c r="K665" s="1262"/>
    </row>
    <row r="666" spans="1:11" s="1234" customFormat="1">
      <c r="A666" s="1260"/>
      <c r="C666" s="1261"/>
      <c r="D666" s="1262"/>
      <c r="E666" s="1261"/>
      <c r="F666" s="1262"/>
      <c r="H666" s="1263"/>
      <c r="I666" s="1262"/>
      <c r="J666" s="1263"/>
      <c r="K666" s="1262"/>
    </row>
    <row r="667" spans="1:11" s="1234" customFormat="1">
      <c r="A667" s="1260"/>
      <c r="C667" s="1261"/>
      <c r="D667" s="1262"/>
      <c r="E667" s="1261"/>
      <c r="F667" s="1262"/>
      <c r="H667" s="1263"/>
      <c r="I667" s="1262"/>
      <c r="J667" s="1263"/>
      <c r="K667" s="1262"/>
    </row>
    <row r="668" spans="1:11" s="1234" customFormat="1">
      <c r="A668" s="1260"/>
      <c r="C668" s="1261"/>
      <c r="D668" s="1262"/>
      <c r="E668" s="1261"/>
      <c r="F668" s="1262"/>
      <c r="H668" s="1263"/>
      <c r="I668" s="1262"/>
      <c r="J668" s="1263"/>
      <c r="K668" s="1262"/>
    </row>
    <row r="669" spans="1:11" s="1234" customFormat="1">
      <c r="A669" s="1260"/>
      <c r="C669" s="1261"/>
      <c r="D669" s="1262"/>
      <c r="E669" s="1261"/>
      <c r="F669" s="1262"/>
      <c r="H669" s="1263"/>
      <c r="I669" s="1262"/>
      <c r="J669" s="1263"/>
      <c r="K669" s="1262"/>
    </row>
    <row r="670" spans="1:11" s="1234" customFormat="1">
      <c r="A670" s="1260"/>
      <c r="C670" s="1261"/>
      <c r="D670" s="1262"/>
      <c r="E670" s="1261"/>
      <c r="F670" s="1262"/>
      <c r="H670" s="1263"/>
      <c r="I670" s="1262"/>
      <c r="J670" s="1263"/>
      <c r="K670" s="1262"/>
    </row>
    <row r="671" spans="1:11" s="1234" customFormat="1">
      <c r="A671" s="1260"/>
      <c r="C671" s="1261"/>
      <c r="D671" s="1262"/>
      <c r="E671" s="1261"/>
      <c r="F671" s="1262"/>
      <c r="H671" s="1263"/>
      <c r="I671" s="1262"/>
      <c r="J671" s="1263"/>
      <c r="K671" s="1262"/>
    </row>
    <row r="672" spans="1:11" s="1234" customFormat="1">
      <c r="A672" s="1260"/>
      <c r="C672" s="1261"/>
      <c r="D672" s="1262"/>
      <c r="E672" s="1261"/>
      <c r="F672" s="1262"/>
      <c r="H672" s="1263"/>
      <c r="I672" s="1262"/>
      <c r="J672" s="1263"/>
      <c r="K672" s="1262"/>
    </row>
    <row r="673" spans="1:11" s="1234" customFormat="1">
      <c r="A673" s="1260"/>
      <c r="C673" s="1261"/>
      <c r="D673" s="1262"/>
      <c r="E673" s="1261"/>
      <c r="F673" s="1262"/>
      <c r="H673" s="1263"/>
      <c r="I673" s="1262"/>
      <c r="J673" s="1263"/>
      <c r="K673" s="1262"/>
    </row>
    <row r="674" spans="1:11" s="1234" customFormat="1">
      <c r="A674" s="1260"/>
      <c r="C674" s="1261"/>
      <c r="D674" s="1262"/>
      <c r="E674" s="1261"/>
      <c r="F674" s="1262"/>
      <c r="H674" s="1263"/>
      <c r="I674" s="1262"/>
      <c r="J674" s="1263"/>
      <c r="K674" s="1262"/>
    </row>
    <row r="675" spans="1:11" s="1234" customFormat="1">
      <c r="A675" s="1260"/>
      <c r="C675" s="1261"/>
      <c r="D675" s="1262"/>
      <c r="E675" s="1261"/>
      <c r="F675" s="1262"/>
      <c r="H675" s="1263"/>
      <c r="I675" s="1262"/>
      <c r="J675" s="1263"/>
      <c r="K675" s="1262"/>
    </row>
    <row r="676" spans="1:11" s="1234" customFormat="1">
      <c r="A676" s="1260"/>
      <c r="C676" s="1261"/>
      <c r="D676" s="1262"/>
      <c r="E676" s="1261"/>
      <c r="F676" s="1262"/>
      <c r="H676" s="1263"/>
      <c r="I676" s="1262"/>
      <c r="J676" s="1263"/>
      <c r="K676" s="1262"/>
    </row>
    <row r="677" spans="1:11" s="1234" customFormat="1">
      <c r="A677" s="1260"/>
      <c r="C677" s="1261"/>
      <c r="D677" s="1262"/>
      <c r="E677" s="1261"/>
      <c r="F677" s="1262"/>
      <c r="H677" s="1263"/>
      <c r="I677" s="1262"/>
      <c r="J677" s="1263"/>
      <c r="K677" s="1262"/>
    </row>
    <row r="678" spans="1:11" s="1234" customFormat="1">
      <c r="A678" s="1260"/>
      <c r="C678" s="1261"/>
      <c r="D678" s="1262"/>
      <c r="E678" s="1261"/>
      <c r="F678" s="1262"/>
      <c r="H678" s="1263"/>
      <c r="I678" s="1262"/>
      <c r="J678" s="1263"/>
      <c r="K678" s="1262"/>
    </row>
    <row r="679" spans="1:11" s="1234" customFormat="1">
      <c r="A679" s="1260"/>
      <c r="C679" s="1261"/>
      <c r="D679" s="1262"/>
      <c r="E679" s="1261"/>
      <c r="F679" s="1262"/>
      <c r="H679" s="1263"/>
      <c r="I679" s="1262"/>
      <c r="J679" s="1263"/>
      <c r="K679" s="1262"/>
    </row>
    <row r="680" spans="1:11" s="1234" customFormat="1">
      <c r="A680" s="1260"/>
      <c r="C680" s="1261"/>
      <c r="D680" s="1262"/>
      <c r="E680" s="1261"/>
      <c r="F680" s="1262"/>
      <c r="H680" s="1263"/>
      <c r="I680" s="1262"/>
      <c r="J680" s="1263"/>
      <c r="K680" s="1262"/>
    </row>
    <row r="681" spans="1:11" s="1234" customFormat="1">
      <c r="A681" s="1260"/>
      <c r="C681" s="1261"/>
      <c r="D681" s="1262"/>
      <c r="E681" s="1261"/>
      <c r="F681" s="1262"/>
      <c r="H681" s="1263"/>
      <c r="I681" s="1262"/>
      <c r="J681" s="1263"/>
      <c r="K681" s="1262"/>
    </row>
    <row r="682" spans="1:11" s="1234" customFormat="1">
      <c r="A682" s="1260"/>
      <c r="C682" s="1261"/>
      <c r="D682" s="1262"/>
      <c r="E682" s="1261"/>
      <c r="F682" s="1262"/>
      <c r="H682" s="1263"/>
      <c r="I682" s="1262"/>
      <c r="J682" s="1263"/>
      <c r="K682" s="1262"/>
    </row>
    <row r="683" spans="1:11" s="1234" customFormat="1">
      <c r="A683" s="1260"/>
      <c r="C683" s="1261"/>
      <c r="D683" s="1262"/>
      <c r="E683" s="1261"/>
      <c r="F683" s="1262"/>
      <c r="H683" s="1263"/>
      <c r="I683" s="1262"/>
      <c r="J683" s="1263"/>
      <c r="K683" s="1262"/>
    </row>
    <row r="684" spans="1:11" s="1234" customFormat="1">
      <c r="A684" s="1260"/>
      <c r="C684" s="1261"/>
      <c r="D684" s="1262"/>
      <c r="E684" s="1261"/>
      <c r="F684" s="1262"/>
      <c r="H684" s="1263"/>
      <c r="I684" s="1262"/>
      <c r="J684" s="1263"/>
      <c r="K684" s="1262"/>
    </row>
    <row r="685" spans="1:11" s="1234" customFormat="1">
      <c r="A685" s="1260"/>
      <c r="C685" s="1261"/>
      <c r="D685" s="1262"/>
      <c r="E685" s="1261"/>
      <c r="F685" s="1262"/>
      <c r="H685" s="1263"/>
      <c r="I685" s="1262"/>
      <c r="J685" s="1263"/>
      <c r="K685" s="1262"/>
    </row>
    <row r="686" spans="1:11" s="1234" customFormat="1">
      <c r="A686" s="1260"/>
      <c r="C686" s="1261"/>
      <c r="D686" s="1262"/>
      <c r="E686" s="1261"/>
      <c r="F686" s="1262"/>
      <c r="H686" s="1263"/>
      <c r="I686" s="1262"/>
      <c r="J686" s="1263"/>
      <c r="K686" s="1262"/>
    </row>
    <row r="687" spans="1:11" s="1234" customFormat="1">
      <c r="A687" s="1260"/>
      <c r="C687" s="1261"/>
      <c r="D687" s="1262"/>
      <c r="E687" s="1261"/>
      <c r="F687" s="1262"/>
      <c r="H687" s="1263"/>
      <c r="I687" s="1262"/>
      <c r="J687" s="1263"/>
      <c r="K687" s="1262"/>
    </row>
    <row r="688" spans="1:11" s="1234" customFormat="1">
      <c r="A688" s="1260"/>
      <c r="C688" s="1261"/>
      <c r="D688" s="1262"/>
      <c r="E688" s="1261"/>
      <c r="F688" s="1262"/>
      <c r="H688" s="1263"/>
      <c r="I688" s="1262"/>
      <c r="J688" s="1263"/>
      <c r="K688" s="1262"/>
    </row>
    <row r="689" spans="1:11" s="1234" customFormat="1">
      <c r="A689" s="1260"/>
      <c r="C689" s="1261"/>
      <c r="D689" s="1262"/>
      <c r="E689" s="1261"/>
      <c r="F689" s="1262"/>
      <c r="H689" s="1263"/>
      <c r="I689" s="1262"/>
      <c r="J689" s="1263"/>
      <c r="K689" s="1262"/>
    </row>
    <row r="690" spans="1:11" s="1234" customFormat="1">
      <c r="A690" s="1260"/>
      <c r="C690" s="1261"/>
      <c r="D690" s="1262"/>
      <c r="E690" s="1261"/>
      <c r="F690" s="1262"/>
      <c r="H690" s="1263"/>
      <c r="I690" s="1262"/>
      <c r="J690" s="1263"/>
      <c r="K690" s="1262"/>
    </row>
    <row r="691" spans="1:11" s="1234" customFormat="1">
      <c r="A691" s="1260"/>
      <c r="C691" s="1261"/>
      <c r="D691" s="1262"/>
      <c r="E691" s="1261"/>
      <c r="F691" s="1262"/>
      <c r="H691" s="1263"/>
      <c r="I691" s="1262"/>
      <c r="J691" s="1263"/>
      <c r="K691" s="1262"/>
    </row>
    <row r="692" spans="1:11" s="1234" customFormat="1">
      <c r="A692" s="1260"/>
      <c r="C692" s="1261"/>
      <c r="D692" s="1262"/>
      <c r="E692" s="1261"/>
      <c r="F692" s="1262"/>
      <c r="H692" s="1263"/>
      <c r="I692" s="1262"/>
      <c r="J692" s="1263"/>
      <c r="K692" s="1262"/>
    </row>
    <row r="693" spans="1:11" s="1234" customFormat="1">
      <c r="A693" s="1260"/>
      <c r="C693" s="1261"/>
      <c r="D693" s="1262"/>
      <c r="E693" s="1261"/>
      <c r="F693" s="1262"/>
      <c r="H693" s="1263"/>
      <c r="I693" s="1262"/>
      <c r="J693" s="1263"/>
      <c r="K693" s="1262"/>
    </row>
    <row r="694" spans="1:11" s="1234" customFormat="1">
      <c r="A694" s="1260"/>
      <c r="C694" s="1261"/>
      <c r="D694" s="1262"/>
      <c r="E694" s="1261"/>
      <c r="F694" s="1262"/>
      <c r="H694" s="1263"/>
      <c r="I694" s="1262"/>
      <c r="J694" s="1263"/>
      <c r="K694" s="1262"/>
    </row>
    <row r="695" spans="1:11" s="1234" customFormat="1">
      <c r="A695" s="1260"/>
      <c r="C695" s="1261"/>
      <c r="D695" s="1262"/>
      <c r="E695" s="1261"/>
      <c r="F695" s="1262"/>
      <c r="H695" s="1263"/>
      <c r="I695" s="1262"/>
      <c r="J695" s="1263"/>
      <c r="K695" s="1262"/>
    </row>
    <row r="696" spans="1:11" s="1234" customFormat="1">
      <c r="A696" s="1260"/>
      <c r="C696" s="1261"/>
      <c r="D696" s="1262"/>
      <c r="E696" s="1261"/>
      <c r="F696" s="1262"/>
      <c r="H696" s="1263"/>
      <c r="I696" s="1262"/>
      <c r="J696" s="1263"/>
      <c r="K696" s="1262"/>
    </row>
    <row r="697" spans="1:11" s="1234" customFormat="1">
      <c r="A697" s="1260"/>
      <c r="C697" s="1261"/>
      <c r="D697" s="1262"/>
      <c r="E697" s="1261"/>
      <c r="F697" s="1262"/>
      <c r="H697" s="1263"/>
      <c r="I697" s="1262"/>
      <c r="J697" s="1263"/>
      <c r="K697" s="1262"/>
    </row>
    <row r="698" spans="1:11" s="1234" customFormat="1">
      <c r="A698" s="1260"/>
      <c r="C698" s="1261"/>
      <c r="D698" s="1262"/>
      <c r="E698" s="1261"/>
      <c r="F698" s="1262"/>
      <c r="H698" s="1263"/>
      <c r="I698" s="1262"/>
      <c r="J698" s="1263"/>
      <c r="K698" s="1262"/>
    </row>
    <row r="699" spans="1:11" s="1234" customFormat="1">
      <c r="A699" s="1260"/>
      <c r="C699" s="1261"/>
      <c r="D699" s="1262"/>
      <c r="E699" s="1261"/>
      <c r="F699" s="1262"/>
      <c r="H699" s="1263"/>
      <c r="I699" s="1262"/>
      <c r="J699" s="1263"/>
      <c r="K699" s="1262"/>
    </row>
    <row r="700" spans="1:11" s="1234" customFormat="1">
      <c r="A700" s="1260"/>
      <c r="C700" s="1261"/>
      <c r="D700" s="1262"/>
      <c r="E700" s="1261"/>
      <c r="F700" s="1262"/>
      <c r="H700" s="1263"/>
      <c r="I700" s="1262"/>
      <c r="J700" s="1263"/>
      <c r="K700" s="1262"/>
    </row>
    <row r="701" spans="1:11" s="1234" customFormat="1">
      <c r="A701" s="1260"/>
      <c r="C701" s="1261"/>
      <c r="D701" s="1262"/>
      <c r="E701" s="1261"/>
      <c r="F701" s="1262"/>
      <c r="H701" s="1263"/>
      <c r="I701" s="1262"/>
      <c r="J701" s="1263"/>
      <c r="K701" s="1262"/>
    </row>
    <row r="702" spans="1:11" s="1234" customFormat="1">
      <c r="A702" s="1260"/>
      <c r="C702" s="1261"/>
      <c r="D702" s="1262"/>
      <c r="E702" s="1261"/>
      <c r="F702" s="1262"/>
      <c r="H702" s="1263"/>
      <c r="I702" s="1262"/>
      <c r="J702" s="1263"/>
      <c r="K702" s="1262"/>
    </row>
    <row r="703" spans="1:11" s="1234" customFormat="1">
      <c r="A703" s="1260"/>
      <c r="C703" s="1261"/>
      <c r="D703" s="1262"/>
      <c r="E703" s="1261"/>
      <c r="F703" s="1262"/>
      <c r="H703" s="1263"/>
      <c r="I703" s="1262"/>
      <c r="J703" s="1263"/>
      <c r="K703" s="1262"/>
    </row>
    <row r="704" spans="1:11" s="1234" customFormat="1">
      <c r="A704" s="1260"/>
      <c r="C704" s="1261"/>
      <c r="D704" s="1262"/>
      <c r="E704" s="1261"/>
      <c r="F704" s="1262"/>
      <c r="H704" s="1263"/>
      <c r="I704" s="1262"/>
      <c r="J704" s="1263"/>
      <c r="K704" s="1262"/>
    </row>
    <row r="705" spans="1:11" s="1234" customFormat="1">
      <c r="A705" s="1260"/>
      <c r="C705" s="1261"/>
      <c r="D705" s="1262"/>
      <c r="E705" s="1261"/>
      <c r="F705" s="1262"/>
      <c r="H705" s="1263"/>
      <c r="I705" s="1262"/>
      <c r="J705" s="1263"/>
      <c r="K705" s="1262"/>
    </row>
    <row r="706" spans="1:11" s="1234" customFormat="1">
      <c r="A706" s="1260"/>
      <c r="C706" s="1261"/>
      <c r="D706" s="1262"/>
      <c r="E706" s="1261"/>
      <c r="F706" s="1262"/>
      <c r="H706" s="1263"/>
      <c r="I706" s="1262"/>
      <c r="J706" s="1263"/>
      <c r="K706" s="1262"/>
    </row>
    <row r="707" spans="1:11" s="1234" customFormat="1">
      <c r="A707" s="1260"/>
      <c r="C707" s="1261"/>
      <c r="D707" s="1262"/>
      <c r="E707" s="1261"/>
      <c r="F707" s="1262"/>
      <c r="H707" s="1263"/>
      <c r="I707" s="1262"/>
      <c r="J707" s="1263"/>
      <c r="K707" s="1262"/>
    </row>
    <row r="708" spans="1:11" s="1234" customFormat="1">
      <c r="A708" s="1260"/>
      <c r="C708" s="1261"/>
      <c r="D708" s="1262"/>
      <c r="E708" s="1261"/>
      <c r="F708" s="1262"/>
      <c r="H708" s="1263"/>
      <c r="I708" s="1262"/>
      <c r="J708" s="1263"/>
      <c r="K708" s="1262"/>
    </row>
    <row r="709" spans="1:11" s="1234" customFormat="1">
      <c r="A709" s="1260"/>
      <c r="C709" s="1261"/>
      <c r="D709" s="1262"/>
      <c r="E709" s="1261"/>
      <c r="F709" s="1262"/>
      <c r="H709" s="1263"/>
      <c r="I709" s="1262"/>
      <c r="J709" s="1263"/>
      <c r="K709" s="1262"/>
    </row>
    <row r="710" spans="1:11" s="1234" customFormat="1">
      <c r="A710" s="1260"/>
      <c r="C710" s="1261"/>
      <c r="D710" s="1262"/>
      <c r="E710" s="1261"/>
      <c r="F710" s="1262"/>
      <c r="H710" s="1263"/>
      <c r="I710" s="1262"/>
      <c r="J710" s="1263"/>
      <c r="K710" s="1262"/>
    </row>
    <row r="711" spans="1:11" s="1234" customFormat="1">
      <c r="A711" s="1260"/>
      <c r="C711" s="1261"/>
      <c r="D711" s="1262"/>
      <c r="E711" s="1261"/>
      <c r="F711" s="1262"/>
      <c r="H711" s="1263"/>
      <c r="I711" s="1262"/>
      <c r="J711" s="1263"/>
      <c r="K711" s="1262"/>
    </row>
    <row r="712" spans="1:11" s="1234" customFormat="1">
      <c r="A712" s="1260"/>
      <c r="C712" s="1261"/>
      <c r="D712" s="1262"/>
      <c r="E712" s="1261"/>
      <c r="F712" s="1262"/>
      <c r="H712" s="1263"/>
      <c r="I712" s="1262"/>
      <c r="J712" s="1263"/>
      <c r="K712" s="1262"/>
    </row>
    <row r="713" spans="1:11" s="1234" customFormat="1">
      <c r="A713" s="1260"/>
      <c r="C713" s="1261"/>
      <c r="D713" s="1262"/>
      <c r="E713" s="1261"/>
      <c r="F713" s="1262"/>
      <c r="H713" s="1263"/>
      <c r="I713" s="1262"/>
      <c r="J713" s="1263"/>
      <c r="K713" s="1262"/>
    </row>
    <row r="714" spans="1:11" s="1234" customFormat="1">
      <c r="A714" s="1260"/>
      <c r="C714" s="1261"/>
      <c r="D714" s="1262"/>
      <c r="E714" s="1261"/>
      <c r="F714" s="1262"/>
      <c r="H714" s="1263"/>
      <c r="I714" s="1262"/>
      <c r="J714" s="1263"/>
      <c r="K714" s="1262"/>
    </row>
    <row r="715" spans="1:11" s="1234" customFormat="1">
      <c r="A715" s="1260"/>
      <c r="C715" s="1261"/>
      <c r="D715" s="1262"/>
      <c r="E715" s="1261"/>
      <c r="F715" s="1262"/>
      <c r="H715" s="1263"/>
      <c r="I715" s="1262"/>
      <c r="J715" s="1263"/>
      <c r="K715" s="1262"/>
    </row>
    <row r="716" spans="1:11" s="1234" customFormat="1">
      <c r="A716" s="1260"/>
      <c r="C716" s="1261"/>
      <c r="D716" s="1262"/>
      <c r="E716" s="1261"/>
      <c r="F716" s="1262"/>
      <c r="H716" s="1263"/>
      <c r="I716" s="1262"/>
      <c r="J716" s="1263"/>
      <c r="K716" s="1262"/>
    </row>
    <row r="717" spans="1:11" s="1234" customFormat="1">
      <c r="A717" s="1260"/>
      <c r="C717" s="1261"/>
      <c r="D717" s="1262"/>
      <c r="E717" s="1261"/>
      <c r="F717" s="1262"/>
      <c r="H717" s="1263"/>
      <c r="I717" s="1262"/>
      <c r="J717" s="1263"/>
      <c r="K717" s="1262"/>
    </row>
    <row r="718" spans="1:11" s="1234" customFormat="1">
      <c r="A718" s="1260"/>
      <c r="C718" s="1261"/>
      <c r="D718" s="1262"/>
      <c r="E718" s="1261"/>
      <c r="F718" s="1262"/>
      <c r="H718" s="1263"/>
      <c r="I718" s="1262"/>
      <c r="J718" s="1263"/>
      <c r="K718" s="1262"/>
    </row>
    <row r="719" spans="1:11" s="1234" customFormat="1">
      <c r="A719" s="1260"/>
      <c r="C719" s="1261"/>
      <c r="D719" s="1262"/>
      <c r="E719" s="1261"/>
      <c r="F719" s="1262"/>
      <c r="H719" s="1263"/>
      <c r="I719" s="1262"/>
      <c r="J719" s="1263"/>
      <c r="K719" s="1262"/>
    </row>
    <row r="720" spans="1:11" s="1234" customFormat="1">
      <c r="A720" s="1260"/>
      <c r="C720" s="1261"/>
      <c r="D720" s="1262"/>
      <c r="E720" s="1261"/>
      <c r="F720" s="1262"/>
      <c r="H720" s="1263"/>
      <c r="I720" s="1262"/>
      <c r="J720" s="1263"/>
      <c r="K720" s="1262"/>
    </row>
    <row r="721" spans="1:11" s="1234" customFormat="1">
      <c r="A721" s="1260"/>
      <c r="C721" s="1261"/>
      <c r="D721" s="1262"/>
      <c r="E721" s="1261"/>
      <c r="F721" s="1262"/>
      <c r="H721" s="1263"/>
      <c r="I721" s="1262"/>
      <c r="J721" s="1263"/>
      <c r="K721" s="1262"/>
    </row>
    <row r="722" spans="1:11" s="1234" customFormat="1">
      <c r="A722" s="1260"/>
      <c r="C722" s="1261"/>
      <c r="D722" s="1262"/>
      <c r="E722" s="1261"/>
      <c r="F722" s="1262"/>
      <c r="H722" s="1263"/>
      <c r="I722" s="1262"/>
      <c r="J722" s="1263"/>
      <c r="K722" s="1262"/>
    </row>
    <row r="723" spans="1:11" s="1234" customFormat="1">
      <c r="A723" s="1260"/>
      <c r="C723" s="1261"/>
      <c r="D723" s="1262"/>
      <c r="E723" s="1261"/>
      <c r="F723" s="1262"/>
      <c r="H723" s="1263"/>
      <c r="I723" s="1262"/>
      <c r="J723" s="1263"/>
      <c r="K723" s="1262"/>
    </row>
    <row r="724" spans="1:11" s="1234" customFormat="1">
      <c r="A724" s="1260"/>
      <c r="C724" s="1261"/>
      <c r="D724" s="1262"/>
      <c r="E724" s="1261"/>
      <c r="F724" s="1262"/>
      <c r="H724" s="1263"/>
      <c r="I724" s="1262"/>
      <c r="J724" s="1263"/>
      <c r="K724" s="1262"/>
    </row>
    <row r="725" spans="1:11" s="1234" customFormat="1">
      <c r="A725" s="1260"/>
      <c r="C725" s="1261"/>
      <c r="D725" s="1262"/>
      <c r="E725" s="1261"/>
      <c r="F725" s="1262"/>
      <c r="H725" s="1263"/>
      <c r="I725" s="1262"/>
      <c r="J725" s="1263"/>
      <c r="K725" s="1262"/>
    </row>
    <row r="726" spans="1:11" s="1234" customFormat="1">
      <c r="A726" s="1260"/>
      <c r="C726" s="1261"/>
      <c r="D726" s="1262"/>
      <c r="E726" s="1261"/>
      <c r="F726" s="1262"/>
      <c r="H726" s="1263"/>
      <c r="I726" s="1262"/>
      <c r="J726" s="1263"/>
      <c r="K726" s="1262"/>
    </row>
    <row r="727" spans="1:11" s="1234" customFormat="1">
      <c r="A727" s="1260"/>
      <c r="C727" s="1261"/>
      <c r="D727" s="1262"/>
      <c r="E727" s="1261"/>
      <c r="F727" s="1262"/>
      <c r="H727" s="1263"/>
      <c r="I727" s="1262"/>
      <c r="J727" s="1263"/>
      <c r="K727" s="1262"/>
    </row>
    <row r="728" spans="1:11" s="1234" customFormat="1">
      <c r="A728" s="1260"/>
      <c r="C728" s="1261"/>
      <c r="D728" s="1262"/>
      <c r="E728" s="1261"/>
      <c r="F728" s="1262"/>
      <c r="H728" s="1263"/>
      <c r="I728" s="1262"/>
      <c r="J728" s="1263"/>
      <c r="K728" s="1262"/>
    </row>
    <row r="729" spans="1:11" s="1234" customFormat="1">
      <c r="A729" s="1260"/>
      <c r="C729" s="1261"/>
      <c r="D729" s="1262"/>
      <c r="E729" s="1261"/>
      <c r="F729" s="1262"/>
      <c r="H729" s="1263"/>
      <c r="I729" s="1262"/>
      <c r="J729" s="1263"/>
      <c r="K729" s="1262"/>
    </row>
    <row r="730" spans="1:11" s="1234" customFormat="1">
      <c r="A730" s="1260"/>
      <c r="C730" s="1261"/>
      <c r="D730" s="1262"/>
      <c r="E730" s="1261"/>
      <c r="F730" s="1262"/>
      <c r="H730" s="1263"/>
      <c r="I730" s="1262"/>
      <c r="J730" s="1263"/>
      <c r="K730" s="1262"/>
    </row>
    <row r="731" spans="1:11" s="1234" customFormat="1">
      <c r="A731" s="1260"/>
      <c r="C731" s="1261"/>
      <c r="D731" s="1262"/>
      <c r="E731" s="1261"/>
      <c r="F731" s="1262"/>
      <c r="H731" s="1263"/>
      <c r="I731" s="1262"/>
      <c r="J731" s="1263"/>
      <c r="K731" s="1262"/>
    </row>
    <row r="732" spans="1:11" s="1234" customFormat="1">
      <c r="A732" s="1260"/>
      <c r="C732" s="1261"/>
      <c r="D732" s="1262"/>
      <c r="E732" s="1261"/>
      <c r="F732" s="1262"/>
      <c r="H732" s="1263"/>
      <c r="I732" s="1262"/>
      <c r="J732" s="1263"/>
      <c r="K732" s="1262"/>
    </row>
    <row r="733" spans="1:11" s="1234" customFormat="1">
      <c r="A733" s="1260"/>
      <c r="C733" s="1261"/>
      <c r="D733" s="1262"/>
      <c r="E733" s="1261"/>
      <c r="F733" s="1262"/>
      <c r="H733" s="1263"/>
      <c r="I733" s="1262"/>
      <c r="J733" s="1263"/>
      <c r="K733" s="1262"/>
    </row>
    <row r="734" spans="1:11" s="1234" customFormat="1">
      <c r="A734" s="1260"/>
      <c r="C734" s="1261"/>
      <c r="D734" s="1262"/>
      <c r="E734" s="1261"/>
      <c r="F734" s="1262"/>
      <c r="H734" s="1263"/>
      <c r="I734" s="1262"/>
      <c r="J734" s="1263"/>
      <c r="K734" s="1262"/>
    </row>
    <row r="735" spans="1:11" s="1234" customFormat="1">
      <c r="A735" s="1260"/>
      <c r="C735" s="1261"/>
      <c r="D735" s="1262"/>
      <c r="E735" s="1261"/>
      <c r="F735" s="1262"/>
      <c r="H735" s="1263"/>
      <c r="I735" s="1262"/>
      <c r="J735" s="1263"/>
      <c r="K735" s="1262"/>
    </row>
    <row r="736" spans="1:11" s="1234" customFormat="1">
      <c r="A736" s="1260"/>
      <c r="C736" s="1261"/>
      <c r="D736" s="1262"/>
      <c r="E736" s="1261"/>
      <c r="F736" s="1262"/>
      <c r="H736" s="1263"/>
      <c r="I736" s="1262"/>
      <c r="J736" s="1263"/>
      <c r="K736" s="1262"/>
    </row>
    <row r="737" spans="1:11" s="1234" customFormat="1">
      <c r="A737" s="1260"/>
      <c r="C737" s="1261"/>
      <c r="D737" s="1262"/>
      <c r="E737" s="1261"/>
      <c r="F737" s="1262"/>
      <c r="H737" s="1263"/>
      <c r="I737" s="1262"/>
      <c r="J737" s="1263"/>
      <c r="K737" s="1262"/>
    </row>
    <row r="738" spans="1:11" s="1234" customFormat="1">
      <c r="A738" s="1260"/>
      <c r="C738" s="1261"/>
      <c r="D738" s="1262"/>
      <c r="E738" s="1261"/>
      <c r="F738" s="1262"/>
      <c r="H738" s="1263"/>
      <c r="I738" s="1262"/>
      <c r="J738" s="1263"/>
      <c r="K738" s="1262"/>
    </row>
    <row r="739" spans="1:11" s="1234" customFormat="1">
      <c r="A739" s="1260"/>
      <c r="C739" s="1261"/>
      <c r="D739" s="1262"/>
      <c r="E739" s="1261"/>
      <c r="F739" s="1262"/>
      <c r="H739" s="1263"/>
      <c r="I739" s="1262"/>
      <c r="J739" s="1263"/>
      <c r="K739" s="1262"/>
    </row>
    <row r="740" spans="1:11" s="1234" customFormat="1">
      <c r="A740" s="1260"/>
      <c r="C740" s="1261"/>
      <c r="D740" s="1262"/>
      <c r="E740" s="1261"/>
      <c r="F740" s="1262"/>
      <c r="H740" s="1263"/>
      <c r="I740" s="1262"/>
      <c r="J740" s="1263"/>
      <c r="K740" s="1262"/>
    </row>
    <row r="741" spans="1:11" s="1234" customFormat="1">
      <c r="A741" s="1260"/>
      <c r="C741" s="1261"/>
      <c r="D741" s="1262"/>
      <c r="E741" s="1261"/>
      <c r="F741" s="1262"/>
      <c r="H741" s="1263"/>
      <c r="I741" s="1262"/>
      <c r="J741" s="1263"/>
      <c r="K741" s="1262"/>
    </row>
    <row r="742" spans="1:11" s="1234" customFormat="1">
      <c r="A742" s="1260"/>
      <c r="C742" s="1261"/>
      <c r="D742" s="1262"/>
      <c r="E742" s="1261"/>
      <c r="F742" s="1262"/>
      <c r="H742" s="1263"/>
      <c r="I742" s="1262"/>
      <c r="J742" s="1263"/>
      <c r="K742" s="1262"/>
    </row>
    <row r="743" spans="1:11" s="1234" customFormat="1">
      <c r="A743" s="1260"/>
      <c r="C743" s="1261"/>
      <c r="D743" s="1262"/>
      <c r="E743" s="1261"/>
      <c r="F743" s="1262"/>
      <c r="H743" s="1263"/>
      <c r="I743" s="1262"/>
      <c r="J743" s="1263"/>
      <c r="K743" s="1262"/>
    </row>
    <row r="744" spans="1:11" s="1234" customFormat="1">
      <c r="A744" s="1260"/>
      <c r="C744" s="1261"/>
      <c r="D744" s="1262"/>
      <c r="E744" s="1261"/>
      <c r="F744" s="1262"/>
      <c r="H744" s="1263"/>
      <c r="I744" s="1262"/>
      <c r="J744" s="1263"/>
      <c r="K744" s="1262"/>
    </row>
    <row r="745" spans="1:11" s="1234" customFormat="1">
      <c r="A745" s="1260"/>
      <c r="C745" s="1261"/>
      <c r="D745" s="1262"/>
      <c r="E745" s="1261"/>
      <c r="F745" s="1262"/>
      <c r="H745" s="1263"/>
      <c r="I745" s="1262"/>
      <c r="J745" s="1263"/>
      <c r="K745" s="1262"/>
    </row>
    <row r="746" spans="1:11" s="1234" customFormat="1">
      <c r="A746" s="1260"/>
      <c r="C746" s="1261"/>
      <c r="D746" s="1262"/>
      <c r="E746" s="1261"/>
      <c r="F746" s="1262"/>
      <c r="H746" s="1263"/>
      <c r="I746" s="1262"/>
      <c r="J746" s="1263"/>
      <c r="K746" s="1262"/>
    </row>
    <row r="747" spans="1:11" s="1234" customFormat="1">
      <c r="A747" s="1260"/>
      <c r="C747" s="1261"/>
      <c r="D747" s="1262"/>
      <c r="E747" s="1261"/>
      <c r="F747" s="1262"/>
      <c r="H747" s="1263"/>
      <c r="I747" s="1262"/>
      <c r="J747" s="1263"/>
      <c r="K747" s="1262"/>
    </row>
    <row r="748" spans="1:11" s="1234" customFormat="1">
      <c r="A748" s="1260"/>
      <c r="C748" s="1261"/>
      <c r="D748" s="1262"/>
      <c r="E748" s="1261"/>
      <c r="F748" s="1262"/>
      <c r="H748" s="1263"/>
      <c r="I748" s="1262"/>
      <c r="J748" s="1263"/>
      <c r="K748" s="1262"/>
    </row>
    <row r="749" spans="1:11" s="1234" customFormat="1">
      <c r="A749" s="1260"/>
      <c r="C749" s="1261"/>
      <c r="D749" s="1262"/>
      <c r="E749" s="1261"/>
      <c r="F749" s="1262"/>
      <c r="H749" s="1263"/>
      <c r="I749" s="1262"/>
      <c r="J749" s="1263"/>
      <c r="K749" s="1262"/>
    </row>
    <row r="750" spans="1:11" s="1234" customFormat="1">
      <c r="A750" s="1260"/>
      <c r="C750" s="1261"/>
      <c r="D750" s="1262"/>
      <c r="E750" s="1261"/>
      <c r="F750" s="1262"/>
      <c r="H750" s="1263"/>
      <c r="I750" s="1262"/>
      <c r="J750" s="1263"/>
      <c r="K750" s="1262"/>
    </row>
    <row r="751" spans="1:11" s="1234" customFormat="1">
      <c r="A751" s="1260"/>
      <c r="C751" s="1261"/>
      <c r="D751" s="1262"/>
      <c r="E751" s="1261"/>
      <c r="F751" s="1262"/>
      <c r="H751" s="1263"/>
      <c r="I751" s="1262"/>
      <c r="J751" s="1263"/>
      <c r="K751" s="1262"/>
    </row>
    <row r="752" spans="1:11" s="1234" customFormat="1">
      <c r="A752" s="1260"/>
      <c r="C752" s="1261"/>
      <c r="D752" s="1262"/>
      <c r="E752" s="1261"/>
      <c r="F752" s="1262"/>
      <c r="H752" s="1263"/>
      <c r="I752" s="1262"/>
      <c r="J752" s="1263"/>
      <c r="K752" s="1262"/>
    </row>
    <row r="753" spans="1:11" s="1234" customFormat="1">
      <c r="A753" s="1260"/>
      <c r="C753" s="1261"/>
      <c r="D753" s="1262"/>
      <c r="E753" s="1261"/>
      <c r="F753" s="1262"/>
      <c r="H753" s="1263"/>
      <c r="I753" s="1262"/>
      <c r="J753" s="1263"/>
      <c r="K753" s="1262"/>
    </row>
    <row r="754" spans="1:11" s="1234" customFormat="1">
      <c r="A754" s="1260"/>
      <c r="C754" s="1261"/>
      <c r="D754" s="1262"/>
      <c r="E754" s="1261"/>
      <c r="F754" s="1262"/>
      <c r="H754" s="1263"/>
      <c r="I754" s="1262"/>
      <c r="J754" s="1263"/>
      <c r="K754" s="1262"/>
    </row>
    <row r="755" spans="1:11" s="1234" customFormat="1">
      <c r="A755" s="1260"/>
      <c r="C755" s="1261"/>
      <c r="D755" s="1262"/>
      <c r="E755" s="1261"/>
      <c r="F755" s="1262"/>
      <c r="H755" s="1263"/>
      <c r="I755" s="1262"/>
      <c r="J755" s="1263"/>
      <c r="K755" s="1262"/>
    </row>
    <row r="756" spans="1:11" s="1234" customFormat="1">
      <c r="A756" s="1260"/>
      <c r="C756" s="1261"/>
      <c r="D756" s="1262"/>
      <c r="E756" s="1261"/>
      <c r="F756" s="1262"/>
      <c r="H756" s="1263"/>
      <c r="I756" s="1262"/>
      <c r="J756" s="1263"/>
      <c r="K756" s="1262"/>
    </row>
    <row r="757" spans="1:11" s="1234" customFormat="1">
      <c r="A757" s="1260"/>
      <c r="C757" s="1261"/>
      <c r="D757" s="1262"/>
      <c r="E757" s="1261"/>
      <c r="F757" s="1262"/>
      <c r="H757" s="1263"/>
      <c r="I757" s="1262"/>
      <c r="J757" s="1263"/>
      <c r="K757" s="1262"/>
    </row>
    <row r="758" spans="1:11" s="1234" customFormat="1">
      <c r="A758" s="1260"/>
      <c r="C758" s="1261"/>
      <c r="D758" s="1262"/>
      <c r="E758" s="1261"/>
      <c r="F758" s="1262"/>
      <c r="H758" s="1263"/>
      <c r="I758" s="1262"/>
      <c r="J758" s="1263"/>
      <c r="K758" s="1262"/>
    </row>
    <row r="759" spans="1:11" s="1234" customFormat="1">
      <c r="A759" s="1260"/>
      <c r="C759" s="1261"/>
      <c r="D759" s="1262"/>
      <c r="E759" s="1261"/>
      <c r="F759" s="1262"/>
      <c r="H759" s="1263"/>
      <c r="I759" s="1262"/>
      <c r="J759" s="1263"/>
      <c r="K759" s="1262"/>
    </row>
    <row r="760" spans="1:11" s="1234" customFormat="1">
      <c r="A760" s="1260"/>
      <c r="C760" s="1261"/>
      <c r="D760" s="1262"/>
      <c r="E760" s="1261"/>
      <c r="F760" s="1262"/>
      <c r="H760" s="1263"/>
      <c r="I760" s="1262"/>
      <c r="J760" s="1263"/>
      <c r="K760" s="1262"/>
    </row>
    <row r="761" spans="1:11" s="1234" customFormat="1">
      <c r="A761" s="1260"/>
      <c r="C761" s="1261"/>
      <c r="D761" s="1262"/>
      <c r="E761" s="1261"/>
      <c r="F761" s="1262"/>
      <c r="H761" s="1263"/>
      <c r="I761" s="1262"/>
      <c r="J761" s="1263"/>
      <c r="K761" s="1262"/>
    </row>
    <row r="762" spans="1:11" s="1234" customFormat="1">
      <c r="A762" s="1260"/>
      <c r="C762" s="1261"/>
      <c r="D762" s="1262"/>
      <c r="E762" s="1261"/>
      <c r="F762" s="1262"/>
      <c r="H762" s="1263"/>
      <c r="I762" s="1262"/>
      <c r="J762" s="1263"/>
      <c r="K762" s="1262"/>
    </row>
    <row r="763" spans="1:11" s="1234" customFormat="1">
      <c r="A763" s="1260"/>
      <c r="C763" s="1261"/>
      <c r="D763" s="1262"/>
      <c r="E763" s="1261"/>
      <c r="F763" s="1262"/>
      <c r="H763" s="1263"/>
      <c r="I763" s="1262"/>
      <c r="J763" s="1263"/>
      <c r="K763" s="1262"/>
    </row>
    <row r="764" spans="1:11" s="1234" customFormat="1">
      <c r="A764" s="1260"/>
      <c r="C764" s="1261"/>
      <c r="D764" s="1262"/>
      <c r="E764" s="1261"/>
      <c r="F764" s="1262"/>
      <c r="H764" s="1263"/>
      <c r="I764" s="1262"/>
      <c r="J764" s="1263"/>
      <c r="K764" s="1262"/>
    </row>
    <row r="765" spans="1:11" s="1234" customFormat="1">
      <c r="A765" s="1260"/>
      <c r="C765" s="1261"/>
      <c r="D765" s="1262"/>
      <c r="E765" s="1261"/>
      <c r="F765" s="1262"/>
      <c r="H765" s="1263"/>
      <c r="I765" s="1262"/>
      <c r="J765" s="1263"/>
      <c r="K765" s="1262"/>
    </row>
    <row r="766" spans="1:11" s="1234" customFormat="1">
      <c r="A766" s="1260"/>
      <c r="C766" s="1261"/>
      <c r="D766" s="1262"/>
      <c r="E766" s="1261"/>
      <c r="F766" s="1262"/>
      <c r="H766" s="1263"/>
      <c r="I766" s="1262"/>
      <c r="J766" s="1263"/>
      <c r="K766" s="1262"/>
    </row>
    <row r="767" spans="1:11" s="1234" customFormat="1">
      <c r="A767" s="1260"/>
      <c r="C767" s="1261"/>
      <c r="D767" s="1262"/>
      <c r="E767" s="1261"/>
      <c r="F767" s="1262"/>
      <c r="H767" s="1263"/>
      <c r="I767" s="1262"/>
      <c r="J767" s="1263"/>
      <c r="K767" s="1262"/>
    </row>
    <row r="768" spans="1:11" s="1234" customFormat="1">
      <c r="A768" s="1260"/>
      <c r="C768" s="1261"/>
      <c r="D768" s="1262"/>
      <c r="E768" s="1261"/>
      <c r="F768" s="1262"/>
      <c r="H768" s="1263"/>
      <c r="I768" s="1262"/>
      <c r="J768" s="1263"/>
      <c r="K768" s="1262"/>
    </row>
    <row r="769" spans="1:11" s="1234" customFormat="1">
      <c r="A769" s="1260"/>
      <c r="C769" s="1261"/>
      <c r="D769" s="1262"/>
      <c r="E769" s="1261"/>
      <c r="F769" s="1262"/>
      <c r="H769" s="1263"/>
      <c r="I769" s="1262"/>
      <c r="J769" s="1263"/>
      <c r="K769" s="1262"/>
    </row>
    <row r="770" spans="1:11" s="1234" customFormat="1">
      <c r="A770" s="1260"/>
      <c r="C770" s="1261"/>
      <c r="D770" s="1262"/>
      <c r="E770" s="1261"/>
      <c r="F770" s="1262"/>
      <c r="H770" s="1263"/>
      <c r="I770" s="1262"/>
      <c r="J770" s="1263"/>
      <c r="K770" s="1262"/>
    </row>
    <row r="771" spans="1:11" s="1234" customFormat="1">
      <c r="A771" s="1260"/>
      <c r="C771" s="1261"/>
      <c r="D771" s="1262"/>
      <c r="E771" s="1261"/>
      <c r="F771" s="1262"/>
      <c r="H771" s="1263"/>
      <c r="I771" s="1262"/>
      <c r="J771" s="1263"/>
      <c r="K771" s="1262"/>
    </row>
    <row r="772" spans="1:11" s="1234" customFormat="1">
      <c r="A772" s="1260"/>
      <c r="C772" s="1261"/>
      <c r="D772" s="1262"/>
      <c r="E772" s="1261"/>
      <c r="F772" s="1262"/>
      <c r="H772" s="1263"/>
      <c r="I772" s="1262"/>
      <c r="J772" s="1263"/>
      <c r="K772" s="1262"/>
    </row>
    <row r="773" spans="1:11" s="1234" customFormat="1">
      <c r="A773" s="1260"/>
      <c r="C773" s="1261"/>
      <c r="D773" s="1262"/>
      <c r="E773" s="1261"/>
      <c r="F773" s="1262"/>
      <c r="H773" s="1263"/>
      <c r="I773" s="1262"/>
      <c r="J773" s="1263"/>
      <c r="K773" s="1262"/>
    </row>
    <row r="774" spans="1:11" s="1234" customFormat="1">
      <c r="A774" s="1260"/>
      <c r="C774" s="1261"/>
      <c r="D774" s="1262"/>
      <c r="E774" s="1261"/>
      <c r="F774" s="1262"/>
      <c r="H774" s="1263"/>
      <c r="I774" s="1262"/>
      <c r="J774" s="1263"/>
      <c r="K774" s="1262"/>
    </row>
    <row r="775" spans="1:11" s="1234" customFormat="1">
      <c r="A775" s="1260"/>
      <c r="C775" s="1261"/>
      <c r="D775" s="1262"/>
      <c r="E775" s="1261"/>
      <c r="F775" s="1262"/>
      <c r="H775" s="1263"/>
      <c r="I775" s="1262"/>
      <c r="J775" s="1263"/>
      <c r="K775" s="1262"/>
    </row>
    <row r="776" spans="1:11" s="1234" customFormat="1">
      <c r="A776" s="1260"/>
      <c r="C776" s="1261"/>
      <c r="D776" s="1262"/>
      <c r="E776" s="1261"/>
      <c r="F776" s="1262"/>
      <c r="H776" s="1263"/>
      <c r="I776" s="1262"/>
      <c r="J776" s="1263"/>
      <c r="K776" s="1262"/>
    </row>
    <row r="777" spans="1:11" s="1234" customFormat="1">
      <c r="A777" s="1260"/>
      <c r="C777" s="1261"/>
      <c r="D777" s="1262"/>
      <c r="E777" s="1261"/>
      <c r="F777" s="1262"/>
      <c r="H777" s="1263"/>
      <c r="I777" s="1262"/>
      <c r="J777" s="1263"/>
      <c r="K777" s="1262"/>
    </row>
    <row r="778" spans="1:11" s="1234" customFormat="1">
      <c r="A778" s="1260"/>
      <c r="C778" s="1261"/>
      <c r="D778" s="1262"/>
      <c r="E778" s="1261"/>
      <c r="F778" s="1262"/>
      <c r="H778" s="1263"/>
      <c r="I778" s="1262"/>
      <c r="J778" s="1263"/>
      <c r="K778" s="1262"/>
    </row>
    <row r="779" spans="1:11" s="1234" customFormat="1">
      <c r="A779" s="1260"/>
      <c r="C779" s="1261"/>
      <c r="D779" s="1262"/>
      <c r="E779" s="1261"/>
      <c r="F779" s="1262"/>
      <c r="H779" s="1263"/>
      <c r="I779" s="1262"/>
      <c r="J779" s="1263"/>
      <c r="K779" s="1262"/>
    </row>
    <row r="780" spans="1:11" s="1234" customFormat="1">
      <c r="A780" s="1260"/>
      <c r="C780" s="1261"/>
      <c r="D780" s="1262"/>
      <c r="E780" s="1261"/>
      <c r="F780" s="1262"/>
      <c r="H780" s="1263"/>
      <c r="I780" s="1262"/>
      <c r="J780" s="1263"/>
      <c r="K780" s="1262"/>
    </row>
    <row r="781" spans="1:11" s="1234" customFormat="1">
      <c r="A781" s="1260"/>
      <c r="C781" s="1261"/>
      <c r="D781" s="1262"/>
      <c r="E781" s="1261"/>
      <c r="F781" s="1262"/>
      <c r="H781" s="1263"/>
      <c r="I781" s="1262"/>
      <c r="J781" s="1263"/>
      <c r="K781" s="1262"/>
    </row>
    <row r="782" spans="1:11" s="1234" customFormat="1">
      <c r="A782" s="1260"/>
      <c r="C782" s="1261"/>
      <c r="D782" s="1262"/>
      <c r="E782" s="1261"/>
      <c r="F782" s="1262"/>
      <c r="H782" s="1263"/>
      <c r="I782" s="1262"/>
      <c r="J782" s="1263"/>
      <c r="K782" s="1262"/>
    </row>
    <row r="783" spans="1:11" s="1234" customFormat="1">
      <c r="A783" s="1260"/>
      <c r="C783" s="1261"/>
      <c r="D783" s="1262"/>
      <c r="E783" s="1261"/>
      <c r="F783" s="1262"/>
      <c r="H783" s="1263"/>
      <c r="I783" s="1262"/>
      <c r="J783" s="1263"/>
      <c r="K783" s="1262"/>
    </row>
    <row r="784" spans="1:11" s="1234" customFormat="1">
      <c r="A784" s="1260"/>
      <c r="C784" s="1261"/>
      <c r="D784" s="1262"/>
      <c r="E784" s="1261"/>
      <c r="F784" s="1262"/>
      <c r="H784" s="1263"/>
      <c r="I784" s="1262"/>
      <c r="J784" s="1263"/>
      <c r="K784" s="1262"/>
    </row>
    <row r="785" spans="1:11" s="1234" customFormat="1">
      <c r="A785" s="1260"/>
      <c r="C785" s="1261"/>
      <c r="D785" s="1262"/>
      <c r="E785" s="1261"/>
      <c r="F785" s="1262"/>
      <c r="H785" s="1263"/>
      <c r="I785" s="1262"/>
      <c r="J785" s="1263"/>
      <c r="K785" s="1262"/>
    </row>
    <row r="786" spans="1:11" s="1234" customFormat="1">
      <c r="A786" s="1260"/>
      <c r="C786" s="1261"/>
      <c r="D786" s="1262"/>
      <c r="E786" s="1261"/>
      <c r="F786" s="1262"/>
      <c r="H786" s="1263"/>
      <c r="I786" s="1262"/>
      <c r="J786" s="1263"/>
      <c r="K786" s="1262"/>
    </row>
    <row r="787" spans="1:11" s="1234" customFormat="1">
      <c r="A787" s="1260"/>
      <c r="C787" s="1261"/>
      <c r="D787" s="1262"/>
      <c r="E787" s="1261"/>
      <c r="F787" s="1262"/>
      <c r="H787" s="1263"/>
      <c r="I787" s="1262"/>
      <c r="J787" s="1263"/>
      <c r="K787" s="1262"/>
    </row>
    <row r="788" spans="1:11" s="1234" customFormat="1">
      <c r="A788" s="1260"/>
      <c r="C788" s="1261"/>
      <c r="D788" s="1262"/>
      <c r="E788" s="1261"/>
      <c r="F788" s="1262"/>
      <c r="H788" s="1263"/>
      <c r="I788" s="1262"/>
      <c r="J788" s="1263"/>
      <c r="K788" s="1262"/>
    </row>
    <row r="789" spans="1:11" s="1234" customFormat="1">
      <c r="A789" s="1260"/>
      <c r="C789" s="1261"/>
      <c r="D789" s="1262"/>
      <c r="E789" s="1261"/>
      <c r="F789" s="1262"/>
      <c r="H789" s="1263"/>
      <c r="I789" s="1262"/>
      <c r="J789" s="1263"/>
      <c r="K789" s="1262"/>
    </row>
    <row r="790" spans="1:11" s="1234" customFormat="1">
      <c r="A790" s="1260"/>
      <c r="C790" s="1261"/>
      <c r="D790" s="1262"/>
      <c r="E790" s="1261"/>
      <c r="F790" s="1262"/>
      <c r="H790" s="1263"/>
      <c r="I790" s="1262"/>
      <c r="J790" s="1263"/>
      <c r="K790" s="1262"/>
    </row>
    <row r="791" spans="1:11" s="1234" customFormat="1">
      <c r="A791" s="1260"/>
      <c r="C791" s="1261"/>
      <c r="D791" s="1262"/>
      <c r="E791" s="1261"/>
      <c r="F791" s="1262"/>
      <c r="H791" s="1263"/>
      <c r="I791" s="1262"/>
      <c r="J791" s="1263"/>
      <c r="K791" s="1262"/>
    </row>
    <row r="792" spans="1:11" s="1234" customFormat="1">
      <c r="A792" s="1260"/>
      <c r="C792" s="1261"/>
      <c r="D792" s="1262"/>
      <c r="E792" s="1261"/>
      <c r="F792" s="1262"/>
      <c r="H792" s="1263"/>
      <c r="I792" s="1262"/>
      <c r="J792" s="1263"/>
      <c r="K792" s="1262"/>
    </row>
    <row r="793" spans="1:11" s="1234" customFormat="1">
      <c r="A793" s="1260"/>
      <c r="C793" s="1261"/>
      <c r="D793" s="1262"/>
      <c r="E793" s="1261"/>
      <c r="F793" s="1262"/>
      <c r="H793" s="1263"/>
      <c r="I793" s="1262"/>
      <c r="J793" s="1263"/>
      <c r="K793" s="1262"/>
    </row>
    <row r="794" spans="1:11" s="1234" customFormat="1">
      <c r="A794" s="1260"/>
      <c r="C794" s="1261"/>
      <c r="D794" s="1262"/>
      <c r="E794" s="1261"/>
      <c r="F794" s="1262"/>
      <c r="H794" s="1263"/>
      <c r="I794" s="1262"/>
      <c r="J794" s="1263"/>
      <c r="K794" s="1262"/>
    </row>
    <row r="795" spans="1:11" s="1234" customFormat="1">
      <c r="A795" s="1260"/>
      <c r="C795" s="1261"/>
      <c r="D795" s="1262"/>
      <c r="E795" s="1261"/>
      <c r="F795" s="1262"/>
      <c r="H795" s="1263"/>
      <c r="I795" s="1262"/>
      <c r="J795" s="1263"/>
      <c r="K795" s="1262"/>
    </row>
    <row r="796" spans="1:11" s="1234" customFormat="1">
      <c r="A796" s="1260"/>
      <c r="C796" s="1261"/>
      <c r="D796" s="1262"/>
      <c r="E796" s="1261"/>
      <c r="F796" s="1262"/>
      <c r="H796" s="1263"/>
      <c r="I796" s="1262"/>
      <c r="J796" s="1263"/>
      <c r="K796" s="1262"/>
    </row>
    <row r="797" spans="1:11" s="1234" customFormat="1">
      <c r="A797" s="1260"/>
      <c r="C797" s="1261"/>
      <c r="D797" s="1262"/>
      <c r="E797" s="1261"/>
      <c r="F797" s="1262"/>
      <c r="H797" s="1263"/>
      <c r="I797" s="1262"/>
      <c r="J797" s="1263"/>
      <c r="K797" s="1262"/>
    </row>
    <row r="798" spans="1:11" s="1234" customFormat="1">
      <c r="A798" s="1260"/>
      <c r="C798" s="1261"/>
      <c r="D798" s="1262"/>
      <c r="E798" s="1261"/>
      <c r="F798" s="1262"/>
      <c r="H798" s="1263"/>
      <c r="I798" s="1262"/>
      <c r="J798" s="1263"/>
      <c r="K798" s="1262"/>
    </row>
    <row r="799" spans="1:11" s="1234" customFormat="1">
      <c r="A799" s="1260"/>
      <c r="C799" s="1261"/>
      <c r="D799" s="1262"/>
      <c r="E799" s="1261"/>
      <c r="F799" s="1262"/>
      <c r="H799" s="1263"/>
      <c r="I799" s="1262"/>
      <c r="J799" s="1263"/>
      <c r="K799" s="1262"/>
    </row>
    <row r="800" spans="1:11" s="1234" customFormat="1">
      <c r="A800" s="1260"/>
      <c r="C800" s="1261"/>
      <c r="D800" s="1262"/>
      <c r="E800" s="1261"/>
      <c r="F800" s="1262"/>
      <c r="H800" s="1263"/>
      <c r="I800" s="1262"/>
      <c r="J800" s="1263"/>
      <c r="K800" s="1262"/>
    </row>
    <row r="801" spans="1:11" s="1234" customFormat="1">
      <c r="A801" s="1260"/>
      <c r="C801" s="1261"/>
      <c r="D801" s="1262"/>
      <c r="E801" s="1261"/>
      <c r="F801" s="1262"/>
      <c r="H801" s="1263"/>
      <c r="I801" s="1262"/>
      <c r="J801" s="1263"/>
      <c r="K801" s="1262"/>
    </row>
    <row r="802" spans="1:11" s="1234" customFormat="1">
      <c r="A802" s="1260"/>
      <c r="C802" s="1261"/>
      <c r="D802" s="1262"/>
      <c r="E802" s="1261"/>
      <c r="F802" s="1262"/>
      <c r="H802" s="1263"/>
      <c r="I802" s="1262"/>
      <c r="J802" s="1263"/>
      <c r="K802" s="1262"/>
    </row>
    <row r="803" spans="1:11" s="1234" customFormat="1">
      <c r="A803" s="1260"/>
      <c r="C803" s="1261"/>
      <c r="D803" s="1262"/>
      <c r="E803" s="1261"/>
      <c r="F803" s="1262"/>
      <c r="H803" s="1263"/>
      <c r="I803" s="1262"/>
      <c r="J803" s="1263"/>
      <c r="K803" s="1262"/>
    </row>
    <row r="804" spans="1:11" s="1234" customFormat="1">
      <c r="A804" s="1260"/>
      <c r="C804" s="1261"/>
      <c r="D804" s="1262"/>
      <c r="E804" s="1261"/>
      <c r="F804" s="1262"/>
      <c r="H804" s="1263"/>
      <c r="I804" s="1262"/>
      <c r="J804" s="1263"/>
      <c r="K804" s="1262"/>
    </row>
    <row r="805" spans="1:11" s="1234" customFormat="1">
      <c r="A805" s="1260"/>
      <c r="C805" s="1261"/>
      <c r="D805" s="1262"/>
      <c r="E805" s="1261"/>
      <c r="F805" s="1262"/>
      <c r="H805" s="1263"/>
      <c r="I805" s="1262"/>
      <c r="J805" s="1263"/>
      <c r="K805" s="1262"/>
    </row>
    <row r="806" spans="1:11" s="1234" customFormat="1">
      <c r="A806" s="1260"/>
      <c r="C806" s="1261"/>
      <c r="D806" s="1262"/>
      <c r="E806" s="1261"/>
      <c r="F806" s="1262"/>
      <c r="H806" s="1263"/>
      <c r="I806" s="1262"/>
      <c r="J806" s="1263"/>
      <c r="K806" s="1262"/>
    </row>
    <row r="807" spans="1:11" s="1234" customFormat="1">
      <c r="A807" s="1260"/>
      <c r="C807" s="1261"/>
      <c r="D807" s="1262"/>
      <c r="E807" s="1261"/>
      <c r="F807" s="1262"/>
      <c r="H807" s="1263"/>
      <c r="I807" s="1262"/>
      <c r="J807" s="1263"/>
      <c r="K807" s="1262"/>
    </row>
    <row r="808" spans="1:11" s="1234" customFormat="1">
      <c r="A808" s="1260"/>
      <c r="C808" s="1261"/>
      <c r="D808" s="1262"/>
      <c r="E808" s="1261"/>
      <c r="F808" s="1262"/>
      <c r="H808" s="1263"/>
      <c r="I808" s="1262"/>
      <c r="J808" s="1263"/>
      <c r="K808" s="1262"/>
    </row>
    <row r="809" spans="1:11" s="1234" customFormat="1">
      <c r="A809" s="1260"/>
      <c r="C809" s="1261"/>
      <c r="D809" s="1262"/>
      <c r="E809" s="1261"/>
      <c r="F809" s="1262"/>
      <c r="H809" s="1263"/>
      <c r="I809" s="1262"/>
      <c r="J809" s="1263"/>
      <c r="K809" s="1262"/>
    </row>
    <row r="810" spans="1:11" s="1234" customFormat="1">
      <c r="A810" s="1260"/>
      <c r="C810" s="1261"/>
      <c r="D810" s="1262"/>
      <c r="E810" s="1261"/>
      <c r="F810" s="1262"/>
      <c r="H810" s="1263"/>
      <c r="I810" s="1262"/>
      <c r="J810" s="1263"/>
      <c r="K810" s="1262"/>
    </row>
    <row r="811" spans="1:11" s="1234" customFormat="1">
      <c r="A811" s="1260"/>
      <c r="C811" s="1261"/>
      <c r="D811" s="1262"/>
      <c r="E811" s="1261"/>
      <c r="F811" s="1262"/>
      <c r="H811" s="1263"/>
      <c r="I811" s="1262"/>
      <c r="J811" s="1263"/>
      <c r="K811" s="1262"/>
    </row>
    <row r="812" spans="1:11" s="1234" customFormat="1">
      <c r="A812" s="1260"/>
      <c r="C812" s="1261"/>
      <c r="D812" s="1262"/>
      <c r="E812" s="1261"/>
      <c r="F812" s="1262"/>
      <c r="H812" s="1263"/>
      <c r="I812" s="1262"/>
      <c r="J812" s="1263"/>
      <c r="K812" s="1262"/>
    </row>
    <row r="813" spans="1:11" s="1234" customFormat="1">
      <c r="A813" s="1260"/>
      <c r="C813" s="1261"/>
      <c r="D813" s="1262"/>
      <c r="E813" s="1261"/>
      <c r="F813" s="1262"/>
      <c r="H813" s="1263"/>
      <c r="I813" s="1262"/>
      <c r="J813" s="1263"/>
      <c r="K813" s="1262"/>
    </row>
    <row r="814" spans="1:11" s="1234" customFormat="1">
      <c r="A814" s="1260"/>
      <c r="C814" s="1261"/>
      <c r="D814" s="1262"/>
      <c r="E814" s="1261"/>
      <c r="F814" s="1262"/>
      <c r="H814" s="1263"/>
      <c r="I814" s="1262"/>
      <c r="J814" s="1263"/>
      <c r="K814" s="1262"/>
    </row>
    <row r="815" spans="1:11" s="1234" customFormat="1">
      <c r="A815" s="1260"/>
      <c r="C815" s="1261"/>
      <c r="D815" s="1262"/>
      <c r="E815" s="1261"/>
      <c r="F815" s="1262"/>
      <c r="H815" s="1263"/>
      <c r="I815" s="1262"/>
      <c r="J815" s="1263"/>
      <c r="K815" s="1262"/>
    </row>
    <row r="816" spans="1:11" s="1234" customFormat="1">
      <c r="A816" s="1260"/>
      <c r="C816" s="1261"/>
      <c r="D816" s="1262"/>
      <c r="E816" s="1261"/>
      <c r="F816" s="1262"/>
      <c r="H816" s="1263"/>
      <c r="I816" s="1262"/>
      <c r="J816" s="1263"/>
      <c r="K816" s="1262"/>
    </row>
    <row r="817" spans="1:11" s="1234" customFormat="1">
      <c r="A817" s="1260"/>
      <c r="C817" s="1261"/>
      <c r="D817" s="1262"/>
      <c r="E817" s="1261"/>
      <c r="F817" s="1262"/>
      <c r="H817" s="1263"/>
      <c r="I817" s="1262"/>
      <c r="J817" s="1263"/>
      <c r="K817" s="1262"/>
    </row>
    <row r="818" spans="1:11" s="1234" customFormat="1">
      <c r="A818" s="1260"/>
      <c r="C818" s="1261"/>
      <c r="D818" s="1262"/>
      <c r="E818" s="1261"/>
      <c r="F818" s="1262"/>
      <c r="H818" s="1263"/>
      <c r="I818" s="1262"/>
      <c r="J818" s="1263"/>
      <c r="K818" s="1262"/>
    </row>
    <row r="819" spans="1:11" s="1234" customFormat="1">
      <c r="A819" s="1260"/>
      <c r="C819" s="1261"/>
      <c r="D819" s="1262"/>
      <c r="E819" s="1261"/>
      <c r="F819" s="1262"/>
      <c r="H819" s="1263"/>
      <c r="I819" s="1262"/>
      <c r="J819" s="1263"/>
      <c r="K819" s="1262"/>
    </row>
    <row r="820" spans="1:11" s="1234" customFormat="1">
      <c r="A820" s="1260"/>
      <c r="C820" s="1261"/>
      <c r="D820" s="1262"/>
      <c r="E820" s="1261"/>
      <c r="F820" s="1262"/>
      <c r="H820" s="1263"/>
      <c r="I820" s="1262"/>
      <c r="J820" s="1263"/>
      <c r="K820" s="1262"/>
    </row>
    <row r="821" spans="1:11" s="1234" customFormat="1">
      <c r="A821" s="1260"/>
      <c r="C821" s="1261"/>
      <c r="D821" s="1262"/>
      <c r="E821" s="1261"/>
      <c r="F821" s="1262"/>
      <c r="H821" s="1263"/>
      <c r="I821" s="1262"/>
      <c r="J821" s="1263"/>
      <c r="K821" s="1262"/>
    </row>
    <row r="822" spans="1:11" s="1234" customFormat="1">
      <c r="A822" s="1260"/>
      <c r="C822" s="1261"/>
      <c r="D822" s="1262"/>
      <c r="E822" s="1261"/>
      <c r="F822" s="1262"/>
      <c r="H822" s="1263"/>
      <c r="I822" s="1262"/>
      <c r="J822" s="1263"/>
      <c r="K822" s="1262"/>
    </row>
    <row r="823" spans="1:11" s="1234" customFormat="1">
      <c r="A823" s="1260"/>
      <c r="C823" s="1261"/>
      <c r="D823" s="1262"/>
      <c r="E823" s="1261"/>
      <c r="F823" s="1262"/>
      <c r="H823" s="1263"/>
      <c r="I823" s="1262"/>
      <c r="J823" s="1263"/>
      <c r="K823" s="1262"/>
    </row>
    <row r="824" spans="1:11" s="1234" customFormat="1">
      <c r="A824" s="1260"/>
      <c r="C824" s="1261"/>
      <c r="D824" s="1262"/>
      <c r="E824" s="1261"/>
      <c r="F824" s="1262"/>
      <c r="H824" s="1263"/>
      <c r="I824" s="1262"/>
      <c r="J824" s="1263"/>
      <c r="K824" s="1262"/>
    </row>
    <row r="825" spans="1:11" s="1234" customFormat="1">
      <c r="A825" s="1260"/>
      <c r="C825" s="1261"/>
      <c r="D825" s="1262"/>
      <c r="E825" s="1261"/>
      <c r="F825" s="1262"/>
      <c r="H825" s="1263"/>
      <c r="I825" s="1262"/>
      <c r="J825" s="1263"/>
      <c r="K825" s="1262"/>
    </row>
    <row r="826" spans="1:11" s="1234" customFormat="1">
      <c r="A826" s="1260"/>
      <c r="C826" s="1261"/>
      <c r="D826" s="1262"/>
      <c r="E826" s="1261"/>
      <c r="F826" s="1262"/>
      <c r="H826" s="1263"/>
      <c r="I826" s="1262"/>
      <c r="J826" s="1263"/>
      <c r="K826" s="1262"/>
    </row>
    <row r="827" spans="1:11" s="1234" customFormat="1">
      <c r="A827" s="1260"/>
      <c r="C827" s="1261"/>
      <c r="D827" s="1262"/>
      <c r="E827" s="1261"/>
      <c r="F827" s="1262"/>
      <c r="H827" s="1263"/>
      <c r="I827" s="1262"/>
      <c r="J827" s="1263"/>
      <c r="K827" s="1262"/>
    </row>
    <row r="828" spans="1:11" s="1234" customFormat="1">
      <c r="A828" s="1260"/>
      <c r="C828" s="1261"/>
      <c r="D828" s="1262"/>
      <c r="E828" s="1261"/>
      <c r="F828" s="1262"/>
      <c r="H828" s="1263"/>
      <c r="I828" s="1262"/>
      <c r="J828" s="1263"/>
      <c r="K828" s="1262"/>
    </row>
    <row r="829" spans="1:11" s="1234" customFormat="1">
      <c r="A829" s="1260"/>
      <c r="C829" s="1261"/>
      <c r="D829" s="1262"/>
      <c r="E829" s="1261"/>
      <c r="F829" s="1262"/>
      <c r="H829" s="1263"/>
      <c r="I829" s="1262"/>
      <c r="J829" s="1263"/>
      <c r="K829" s="1262"/>
    </row>
    <row r="830" spans="1:11" s="1234" customFormat="1">
      <c r="A830" s="1260"/>
      <c r="C830" s="1261"/>
      <c r="D830" s="1262"/>
      <c r="E830" s="1261"/>
      <c r="F830" s="1262"/>
      <c r="H830" s="1263"/>
      <c r="I830" s="1262"/>
      <c r="J830" s="1263"/>
      <c r="K830" s="1262"/>
    </row>
    <row r="831" spans="1:11" s="1234" customFormat="1">
      <c r="A831" s="1260"/>
      <c r="C831" s="1261"/>
      <c r="D831" s="1262"/>
      <c r="E831" s="1261"/>
      <c r="F831" s="1262"/>
      <c r="H831" s="1263"/>
      <c r="I831" s="1262"/>
      <c r="J831" s="1263"/>
      <c r="K831" s="1262"/>
    </row>
    <row r="832" spans="1:11" s="1234" customFormat="1">
      <c r="A832" s="1260"/>
      <c r="C832" s="1261"/>
      <c r="D832" s="1262"/>
      <c r="E832" s="1261"/>
      <c r="F832" s="1262"/>
      <c r="H832" s="1263"/>
      <c r="I832" s="1262"/>
      <c r="J832" s="1263"/>
      <c r="K832" s="1262"/>
    </row>
    <row r="833" spans="1:11" s="1234" customFormat="1">
      <c r="A833" s="1260"/>
      <c r="C833" s="1261"/>
      <c r="D833" s="1262"/>
      <c r="E833" s="1261"/>
      <c r="F833" s="1262"/>
      <c r="H833" s="1263"/>
      <c r="I833" s="1262"/>
      <c r="J833" s="1263"/>
      <c r="K833" s="1262"/>
    </row>
    <row r="834" spans="1:11" s="1234" customFormat="1">
      <c r="A834" s="1260"/>
      <c r="C834" s="1261"/>
      <c r="D834" s="1262"/>
      <c r="E834" s="1261"/>
      <c r="F834" s="1262"/>
      <c r="H834" s="1263"/>
      <c r="I834" s="1262"/>
      <c r="J834" s="1263"/>
      <c r="K834" s="1262"/>
    </row>
    <row r="835" spans="1:11" s="1234" customFormat="1">
      <c r="A835" s="1260"/>
      <c r="C835" s="1261"/>
      <c r="D835" s="1262"/>
      <c r="E835" s="1261"/>
      <c r="F835" s="1262"/>
      <c r="H835" s="1263"/>
      <c r="I835" s="1262"/>
      <c r="J835" s="1263"/>
      <c r="K835" s="1262"/>
    </row>
    <row r="836" spans="1:11" s="1234" customFormat="1">
      <c r="A836" s="1260"/>
      <c r="C836" s="1261"/>
      <c r="D836" s="1262"/>
      <c r="E836" s="1261"/>
      <c r="F836" s="1262"/>
      <c r="H836" s="1263"/>
      <c r="I836" s="1262"/>
      <c r="J836" s="1263"/>
      <c r="K836" s="1262"/>
    </row>
    <row r="837" spans="1:11" s="1234" customFormat="1">
      <c r="A837" s="1260"/>
      <c r="C837" s="1261"/>
      <c r="D837" s="1262"/>
      <c r="E837" s="1261"/>
      <c r="F837" s="1262"/>
      <c r="H837" s="1263"/>
      <c r="I837" s="1262"/>
      <c r="J837" s="1263"/>
      <c r="K837" s="1262"/>
    </row>
    <row r="838" spans="1:11" s="1234" customFormat="1">
      <c r="A838" s="1260"/>
      <c r="C838" s="1261"/>
      <c r="D838" s="1262"/>
      <c r="E838" s="1261"/>
      <c r="F838" s="1262"/>
      <c r="H838" s="1263"/>
      <c r="I838" s="1262"/>
      <c r="J838" s="1263"/>
      <c r="K838" s="1262"/>
    </row>
    <row r="839" spans="1:11" s="1234" customFormat="1">
      <c r="A839" s="1260"/>
      <c r="C839" s="1261"/>
      <c r="D839" s="1262"/>
      <c r="E839" s="1261"/>
      <c r="F839" s="1262"/>
      <c r="H839" s="1263"/>
      <c r="I839" s="1262"/>
      <c r="J839" s="1263"/>
      <c r="K839" s="1262"/>
    </row>
    <row r="840" spans="1:11" s="1234" customFormat="1">
      <c r="A840" s="1260"/>
      <c r="C840" s="1261"/>
      <c r="D840" s="1262"/>
      <c r="E840" s="1261"/>
      <c r="F840" s="1262"/>
      <c r="H840" s="1263"/>
      <c r="I840" s="1262"/>
      <c r="J840" s="1263"/>
      <c r="K840" s="1262"/>
    </row>
    <row r="841" spans="1:11" s="1234" customFormat="1">
      <c r="A841" s="1260"/>
      <c r="C841" s="1261"/>
      <c r="D841" s="1262"/>
      <c r="E841" s="1261"/>
      <c r="F841" s="1262"/>
      <c r="H841" s="1263"/>
      <c r="I841" s="1262"/>
      <c r="J841" s="1263"/>
      <c r="K841" s="1262"/>
    </row>
    <row r="842" spans="1:11" s="1234" customFormat="1">
      <c r="A842" s="1260"/>
      <c r="C842" s="1261"/>
      <c r="D842" s="1262"/>
      <c r="E842" s="1261"/>
      <c r="F842" s="1262"/>
      <c r="H842" s="1263"/>
      <c r="I842" s="1262"/>
      <c r="J842" s="1263"/>
      <c r="K842" s="1262"/>
    </row>
    <row r="843" spans="1:11" s="1234" customFormat="1">
      <c r="A843" s="1260"/>
      <c r="C843" s="1261"/>
      <c r="D843" s="1262"/>
      <c r="E843" s="1261"/>
      <c r="F843" s="1262"/>
      <c r="H843" s="1263"/>
      <c r="I843" s="1262"/>
      <c r="J843" s="1263"/>
      <c r="K843" s="1262"/>
    </row>
    <row r="844" spans="1:11" s="1234" customFormat="1">
      <c r="A844" s="1260"/>
      <c r="C844" s="1261"/>
      <c r="D844" s="1262"/>
      <c r="E844" s="1261"/>
      <c r="F844" s="1262"/>
      <c r="H844" s="1263"/>
      <c r="I844" s="1262"/>
      <c r="J844" s="1263"/>
      <c r="K844" s="1262"/>
    </row>
    <row r="845" spans="1:11" s="1234" customFormat="1">
      <c r="A845" s="1260"/>
      <c r="C845" s="1261"/>
      <c r="D845" s="1262"/>
      <c r="E845" s="1261"/>
      <c r="F845" s="1262"/>
      <c r="H845" s="1263"/>
      <c r="I845" s="1262"/>
      <c r="J845" s="1263"/>
      <c r="K845" s="1262"/>
    </row>
    <row r="846" spans="1:11" s="1234" customFormat="1">
      <c r="A846" s="1260"/>
      <c r="C846" s="1261"/>
      <c r="D846" s="1262"/>
      <c r="E846" s="1261"/>
      <c r="F846" s="1262"/>
      <c r="H846" s="1263"/>
      <c r="I846" s="1262"/>
      <c r="J846" s="1263"/>
      <c r="K846" s="1262"/>
    </row>
    <row r="847" spans="1:11" s="1234" customFormat="1">
      <c r="A847" s="1260"/>
      <c r="C847" s="1261"/>
      <c r="D847" s="1262"/>
      <c r="E847" s="1261"/>
      <c r="F847" s="1262"/>
      <c r="H847" s="1263"/>
      <c r="I847" s="1262"/>
      <c r="J847" s="1263"/>
      <c r="K847" s="1262"/>
    </row>
    <row r="848" spans="1:11" s="1234" customFormat="1">
      <c r="A848" s="1260"/>
      <c r="C848" s="1261"/>
      <c r="D848" s="1262"/>
      <c r="E848" s="1261"/>
      <c r="F848" s="1262"/>
      <c r="H848" s="1263"/>
      <c r="I848" s="1262"/>
      <c r="J848" s="1263"/>
      <c r="K848" s="1262"/>
    </row>
    <row r="849" spans="1:11" s="1234" customFormat="1">
      <c r="A849" s="1260"/>
      <c r="C849" s="1261"/>
      <c r="D849" s="1262"/>
      <c r="E849" s="1261"/>
      <c r="F849" s="1262"/>
      <c r="H849" s="1263"/>
      <c r="I849" s="1262"/>
      <c r="J849" s="1263"/>
      <c r="K849" s="1262"/>
    </row>
    <row r="850" spans="1:11" s="1234" customFormat="1">
      <c r="A850" s="1260"/>
      <c r="C850" s="1261"/>
      <c r="D850" s="1262"/>
      <c r="E850" s="1261"/>
      <c r="F850" s="1262"/>
      <c r="H850" s="1263"/>
      <c r="I850" s="1262"/>
      <c r="J850" s="1263"/>
      <c r="K850" s="1262"/>
    </row>
    <row r="851" spans="1:11" s="1234" customFormat="1">
      <c r="A851" s="1260"/>
      <c r="C851" s="1261"/>
      <c r="D851" s="1262"/>
      <c r="E851" s="1261"/>
      <c r="F851" s="1262"/>
      <c r="H851" s="1263"/>
      <c r="I851" s="1262"/>
      <c r="J851" s="1263"/>
      <c r="K851" s="1262"/>
    </row>
    <row r="852" spans="1:11" s="1234" customFormat="1">
      <c r="A852" s="1260"/>
      <c r="C852" s="1261"/>
      <c r="D852" s="1262"/>
      <c r="E852" s="1261"/>
      <c r="F852" s="1262"/>
      <c r="H852" s="1263"/>
      <c r="I852" s="1262"/>
      <c r="J852" s="1263"/>
      <c r="K852" s="1262"/>
    </row>
    <row r="853" spans="1:11" s="1234" customFormat="1">
      <c r="A853" s="1260"/>
      <c r="C853" s="1261"/>
      <c r="D853" s="1262"/>
      <c r="E853" s="1261"/>
      <c r="F853" s="1262"/>
      <c r="H853" s="1263"/>
      <c r="I853" s="1262"/>
      <c r="J853" s="1263"/>
      <c r="K853" s="1262"/>
    </row>
    <row r="854" spans="1:11" s="1234" customFormat="1">
      <c r="A854" s="1260"/>
      <c r="C854" s="1261"/>
      <c r="D854" s="1262"/>
      <c r="E854" s="1261"/>
      <c r="F854" s="1262"/>
      <c r="H854" s="1263"/>
      <c r="I854" s="1262"/>
      <c r="J854" s="1263"/>
      <c r="K854" s="1262"/>
    </row>
    <row r="855" spans="1:11" s="1234" customFormat="1">
      <c r="A855" s="1260"/>
      <c r="C855" s="1261"/>
      <c r="D855" s="1262"/>
      <c r="E855" s="1261"/>
      <c r="F855" s="1262"/>
      <c r="H855" s="1263"/>
      <c r="I855" s="1262"/>
      <c r="J855" s="1263"/>
      <c r="K855" s="1262"/>
    </row>
    <row r="856" spans="1:11" s="1234" customFormat="1">
      <c r="A856" s="1260"/>
      <c r="C856" s="1261"/>
      <c r="D856" s="1262"/>
      <c r="E856" s="1261"/>
      <c r="F856" s="1262"/>
      <c r="H856" s="1263"/>
      <c r="I856" s="1262"/>
      <c r="J856" s="1263"/>
      <c r="K856" s="1262"/>
    </row>
    <row r="857" spans="1:11" s="1234" customFormat="1">
      <c r="A857" s="1260"/>
      <c r="C857" s="1261"/>
      <c r="D857" s="1262"/>
      <c r="E857" s="1261"/>
      <c r="F857" s="1262"/>
      <c r="H857" s="1263"/>
      <c r="I857" s="1262"/>
      <c r="J857" s="1263"/>
      <c r="K857" s="1262"/>
    </row>
    <row r="858" spans="1:11" s="1234" customFormat="1">
      <c r="A858" s="1260"/>
      <c r="C858" s="1261"/>
      <c r="D858" s="1262"/>
      <c r="E858" s="1261"/>
      <c r="F858" s="1262"/>
      <c r="H858" s="1263"/>
      <c r="I858" s="1262"/>
      <c r="J858" s="1263"/>
      <c r="K858" s="1262"/>
    </row>
    <row r="859" spans="1:11" s="1234" customFormat="1">
      <c r="A859" s="1260"/>
      <c r="C859" s="1261"/>
      <c r="D859" s="1262"/>
      <c r="E859" s="1261"/>
      <c r="F859" s="1262"/>
      <c r="H859" s="1263"/>
      <c r="I859" s="1262"/>
      <c r="J859" s="1263"/>
      <c r="K859" s="1262"/>
    </row>
    <row r="860" spans="1:11" s="1234" customFormat="1">
      <c r="A860" s="1260"/>
      <c r="C860" s="1261"/>
      <c r="D860" s="1262"/>
      <c r="E860" s="1261"/>
      <c r="F860" s="1262"/>
      <c r="H860" s="1263"/>
      <c r="I860" s="1262"/>
      <c r="J860" s="1263"/>
      <c r="K860" s="1262"/>
    </row>
    <row r="861" spans="1:11" s="1234" customFormat="1">
      <c r="A861" s="1260"/>
      <c r="C861" s="1261"/>
      <c r="D861" s="1262"/>
      <c r="E861" s="1261"/>
      <c r="F861" s="1262"/>
      <c r="H861" s="1263"/>
      <c r="I861" s="1262"/>
      <c r="J861" s="1263"/>
      <c r="K861" s="1262"/>
    </row>
    <row r="862" spans="1:11" s="1234" customFormat="1">
      <c r="A862" s="1260"/>
      <c r="C862" s="1261"/>
      <c r="D862" s="1262"/>
      <c r="E862" s="1261"/>
      <c r="F862" s="1262"/>
      <c r="H862" s="1263"/>
      <c r="I862" s="1262"/>
      <c r="J862" s="1263"/>
      <c r="K862" s="1262"/>
    </row>
    <row r="863" spans="1:11" s="1234" customFormat="1">
      <c r="A863" s="1260"/>
      <c r="C863" s="1261"/>
      <c r="D863" s="1262"/>
      <c r="E863" s="1261"/>
      <c r="F863" s="1262"/>
      <c r="H863" s="1263"/>
      <c r="I863" s="1262"/>
      <c r="J863" s="1263"/>
      <c r="K863" s="1262"/>
    </row>
    <row r="864" spans="1:11" s="1234" customFormat="1">
      <c r="A864" s="1260"/>
      <c r="C864" s="1261"/>
      <c r="D864" s="1262"/>
      <c r="E864" s="1261"/>
      <c r="F864" s="1262"/>
      <c r="H864" s="1263"/>
      <c r="I864" s="1262"/>
      <c r="J864" s="1263"/>
      <c r="K864" s="1262"/>
    </row>
    <row r="865" spans="1:11" s="1234" customFormat="1">
      <c r="A865" s="1260"/>
      <c r="C865" s="1261"/>
      <c r="D865" s="1262"/>
      <c r="E865" s="1261"/>
      <c r="F865" s="1262"/>
      <c r="H865" s="1263"/>
      <c r="I865" s="1262"/>
      <c r="J865" s="1263"/>
      <c r="K865" s="1262"/>
    </row>
    <row r="866" spans="1:11" s="1234" customFormat="1">
      <c r="A866" s="1260"/>
      <c r="C866" s="1261"/>
      <c r="D866" s="1262"/>
      <c r="E866" s="1261"/>
      <c r="F866" s="1262"/>
      <c r="H866" s="1263"/>
      <c r="I866" s="1262"/>
      <c r="J866" s="1263"/>
      <c r="K866" s="1262"/>
    </row>
    <row r="867" spans="1:11" s="1234" customFormat="1">
      <c r="A867" s="1260"/>
      <c r="C867" s="1261"/>
      <c r="D867" s="1262"/>
      <c r="E867" s="1261"/>
      <c r="F867" s="1262"/>
      <c r="H867" s="1263"/>
      <c r="I867" s="1262"/>
      <c r="J867" s="1263"/>
      <c r="K867" s="1262"/>
    </row>
    <row r="868" spans="1:11" s="1234" customFormat="1">
      <c r="A868" s="1260"/>
      <c r="C868" s="1261"/>
      <c r="D868" s="1262"/>
      <c r="E868" s="1261"/>
      <c r="F868" s="1262"/>
      <c r="H868" s="1263"/>
      <c r="I868" s="1262"/>
      <c r="J868" s="1263"/>
      <c r="K868" s="1262"/>
    </row>
    <row r="869" spans="1:11" s="1234" customFormat="1">
      <c r="A869" s="1260"/>
      <c r="C869" s="1261"/>
      <c r="D869" s="1262"/>
      <c r="E869" s="1261"/>
      <c r="F869" s="1262"/>
      <c r="H869" s="1263"/>
      <c r="I869" s="1262"/>
      <c r="J869" s="1263"/>
      <c r="K869" s="1262"/>
    </row>
    <row r="870" spans="1:11" s="1234" customFormat="1">
      <c r="A870" s="1260"/>
      <c r="C870" s="1261"/>
      <c r="D870" s="1262"/>
      <c r="E870" s="1261"/>
      <c r="F870" s="1262"/>
      <c r="H870" s="1263"/>
      <c r="I870" s="1262"/>
      <c r="J870" s="1263"/>
      <c r="K870" s="1262"/>
    </row>
    <row r="871" spans="1:11" s="1234" customFormat="1">
      <c r="A871" s="1260"/>
      <c r="C871" s="1261"/>
      <c r="D871" s="1262"/>
      <c r="E871" s="1261"/>
      <c r="F871" s="1262"/>
      <c r="H871" s="1263"/>
      <c r="I871" s="1262"/>
      <c r="J871" s="1263"/>
      <c r="K871" s="1262"/>
    </row>
    <row r="872" spans="1:11" s="1234" customFormat="1">
      <c r="A872" s="1260"/>
      <c r="C872" s="1261"/>
      <c r="D872" s="1262"/>
      <c r="E872" s="1261"/>
      <c r="F872" s="1262"/>
      <c r="H872" s="1263"/>
      <c r="I872" s="1262"/>
      <c r="J872" s="1263"/>
      <c r="K872" s="1262"/>
    </row>
    <row r="873" spans="1:11" s="1234" customFormat="1">
      <c r="A873" s="1260"/>
      <c r="C873" s="1261"/>
      <c r="D873" s="1262"/>
      <c r="E873" s="1261"/>
      <c r="F873" s="1262"/>
      <c r="H873" s="1263"/>
      <c r="I873" s="1262"/>
      <c r="J873" s="1263"/>
      <c r="K873" s="1262"/>
    </row>
    <row r="874" spans="1:11" s="1234" customFormat="1">
      <c r="A874" s="1260"/>
      <c r="C874" s="1261"/>
      <c r="D874" s="1262"/>
      <c r="E874" s="1261"/>
      <c r="F874" s="1262"/>
      <c r="H874" s="1263"/>
      <c r="I874" s="1262"/>
      <c r="J874" s="1263"/>
      <c r="K874" s="1262"/>
    </row>
    <row r="875" spans="1:11" s="1234" customFormat="1">
      <c r="A875" s="1260"/>
      <c r="C875" s="1261"/>
      <c r="D875" s="1262"/>
      <c r="E875" s="1261"/>
      <c r="F875" s="1262"/>
      <c r="H875" s="1263"/>
      <c r="I875" s="1262"/>
      <c r="J875" s="1263"/>
      <c r="K875" s="1262"/>
    </row>
    <row r="876" spans="1:11" s="1234" customFormat="1">
      <c r="A876" s="1260"/>
      <c r="C876" s="1261"/>
      <c r="D876" s="1262"/>
      <c r="E876" s="1261"/>
      <c r="F876" s="1262"/>
      <c r="H876" s="1263"/>
      <c r="I876" s="1262"/>
      <c r="J876" s="1263"/>
      <c r="K876" s="1262"/>
    </row>
    <row r="877" spans="1:11" s="1234" customFormat="1">
      <c r="A877" s="1260"/>
      <c r="C877" s="1261"/>
      <c r="D877" s="1262"/>
      <c r="E877" s="1261"/>
      <c r="F877" s="1262"/>
      <c r="H877" s="1263"/>
      <c r="I877" s="1262"/>
      <c r="J877" s="1263"/>
      <c r="K877" s="1262"/>
    </row>
    <row r="878" spans="1:11" s="1234" customFormat="1">
      <c r="A878" s="1260"/>
      <c r="C878" s="1261"/>
      <c r="D878" s="1262"/>
      <c r="E878" s="1261"/>
      <c r="F878" s="1262"/>
      <c r="H878" s="1263"/>
      <c r="I878" s="1262"/>
      <c r="J878" s="1263"/>
      <c r="K878" s="1262"/>
    </row>
    <row r="879" spans="1:11" s="1234" customFormat="1">
      <c r="A879" s="1260"/>
      <c r="C879" s="1261"/>
      <c r="D879" s="1262"/>
      <c r="E879" s="1261"/>
      <c r="F879" s="1262"/>
      <c r="H879" s="1263"/>
      <c r="I879" s="1262"/>
      <c r="J879" s="1263"/>
      <c r="K879" s="1262"/>
    </row>
    <row r="880" spans="1:11" s="1234" customFormat="1">
      <c r="A880" s="1260"/>
      <c r="C880" s="1261"/>
      <c r="D880" s="1262"/>
      <c r="E880" s="1261"/>
      <c r="F880" s="1262"/>
      <c r="H880" s="1263"/>
      <c r="I880" s="1262"/>
      <c r="J880" s="1263"/>
      <c r="K880" s="1262"/>
    </row>
    <row r="881" spans="1:11" s="1234" customFormat="1">
      <c r="A881" s="1260"/>
      <c r="C881" s="1261"/>
      <c r="D881" s="1262"/>
      <c r="E881" s="1261"/>
      <c r="F881" s="1262"/>
      <c r="H881" s="1263"/>
      <c r="I881" s="1262"/>
      <c r="J881" s="1263"/>
      <c r="K881" s="1262"/>
    </row>
    <row r="882" spans="1:11" s="1234" customFormat="1">
      <c r="A882" s="1260"/>
      <c r="C882" s="1261"/>
      <c r="D882" s="1262"/>
      <c r="E882" s="1261"/>
      <c r="F882" s="1262"/>
      <c r="H882" s="1263"/>
      <c r="I882" s="1262"/>
      <c r="J882" s="1263"/>
      <c r="K882" s="1262"/>
    </row>
    <row r="883" spans="1:11" s="1234" customFormat="1">
      <c r="A883" s="1260"/>
      <c r="C883" s="1261"/>
      <c r="D883" s="1262"/>
      <c r="E883" s="1261"/>
      <c r="F883" s="1262"/>
      <c r="H883" s="1263"/>
      <c r="I883" s="1262"/>
      <c r="J883" s="1263"/>
      <c r="K883" s="1262"/>
    </row>
    <row r="884" spans="1:11" s="1234" customFormat="1">
      <c r="A884" s="1260"/>
      <c r="C884" s="1261"/>
      <c r="D884" s="1262"/>
      <c r="E884" s="1261"/>
      <c r="F884" s="1262"/>
      <c r="H884" s="1263"/>
      <c r="I884" s="1262"/>
      <c r="J884" s="1263"/>
      <c r="K884" s="1262"/>
    </row>
    <row r="885" spans="1:11" s="1234" customFormat="1">
      <c r="A885" s="1260"/>
      <c r="C885" s="1261"/>
      <c r="D885" s="1262"/>
      <c r="E885" s="1261"/>
      <c r="F885" s="1262"/>
      <c r="H885" s="1263"/>
      <c r="I885" s="1262"/>
      <c r="J885" s="1263"/>
      <c r="K885" s="1262"/>
    </row>
    <row r="886" spans="1:11" s="1234" customFormat="1">
      <c r="A886" s="1260"/>
      <c r="C886" s="1261"/>
      <c r="D886" s="1262"/>
      <c r="E886" s="1261"/>
      <c r="F886" s="1262"/>
      <c r="H886" s="1263"/>
      <c r="I886" s="1262"/>
      <c r="J886" s="1263"/>
      <c r="K886" s="1262"/>
    </row>
    <row r="887" spans="1:11" s="1234" customFormat="1">
      <c r="A887" s="1260"/>
      <c r="C887" s="1261"/>
      <c r="D887" s="1262"/>
      <c r="E887" s="1261"/>
      <c r="F887" s="1262"/>
      <c r="H887" s="1263"/>
      <c r="I887" s="1262"/>
      <c r="J887" s="1263"/>
      <c r="K887" s="1262"/>
    </row>
    <row r="888" spans="1:11" s="1234" customFormat="1">
      <c r="A888" s="1260"/>
      <c r="C888" s="1261"/>
      <c r="D888" s="1262"/>
      <c r="E888" s="1261"/>
      <c r="F888" s="1262"/>
      <c r="H888" s="1263"/>
      <c r="I888" s="1262"/>
      <c r="J888" s="1263"/>
      <c r="K888" s="1262"/>
    </row>
    <row r="889" spans="1:11" s="1234" customFormat="1">
      <c r="A889" s="1260"/>
      <c r="C889" s="1261"/>
      <c r="D889" s="1262"/>
      <c r="E889" s="1261"/>
      <c r="F889" s="1262"/>
      <c r="H889" s="1263"/>
      <c r="I889" s="1262"/>
      <c r="J889" s="1263"/>
      <c r="K889" s="1262"/>
    </row>
    <row r="890" spans="1:11" s="1234" customFormat="1">
      <c r="A890" s="1260"/>
      <c r="C890" s="1261"/>
      <c r="D890" s="1262"/>
      <c r="E890" s="1261"/>
      <c r="F890" s="1262"/>
      <c r="H890" s="1263"/>
      <c r="I890" s="1262"/>
      <c r="J890" s="1263"/>
      <c r="K890" s="1262"/>
    </row>
    <row r="891" spans="1:11" s="1234" customFormat="1">
      <c r="A891" s="1260"/>
      <c r="C891" s="1261"/>
      <c r="D891" s="1262"/>
      <c r="E891" s="1261"/>
      <c r="F891" s="1262"/>
      <c r="H891" s="1263"/>
      <c r="I891" s="1262"/>
      <c r="J891" s="1263"/>
      <c r="K891" s="1262"/>
    </row>
    <row r="892" spans="1:11" s="1234" customFormat="1">
      <c r="A892" s="1260"/>
      <c r="C892" s="1261"/>
      <c r="D892" s="1262"/>
      <c r="E892" s="1261"/>
      <c r="F892" s="1262"/>
      <c r="H892" s="1263"/>
      <c r="I892" s="1262"/>
      <c r="J892" s="1263"/>
      <c r="K892" s="1262"/>
    </row>
    <row r="893" spans="1:11" s="1234" customFormat="1">
      <c r="A893" s="1260"/>
      <c r="C893" s="1261"/>
      <c r="D893" s="1262"/>
      <c r="E893" s="1261"/>
      <c r="F893" s="1262"/>
      <c r="H893" s="1263"/>
      <c r="I893" s="1262"/>
      <c r="J893" s="1263"/>
      <c r="K893" s="1262"/>
    </row>
    <row r="894" spans="1:11" s="1234" customFormat="1">
      <c r="A894" s="1260"/>
      <c r="C894" s="1261"/>
      <c r="D894" s="1262"/>
      <c r="E894" s="1261"/>
      <c r="F894" s="1262"/>
      <c r="H894" s="1263"/>
      <c r="I894" s="1262"/>
      <c r="J894" s="1263"/>
      <c r="K894" s="1262"/>
    </row>
    <row r="895" spans="1:11" s="1234" customFormat="1">
      <c r="A895" s="1260"/>
      <c r="C895" s="1261"/>
      <c r="D895" s="1262"/>
      <c r="E895" s="1261"/>
      <c r="F895" s="1262"/>
      <c r="H895" s="1263"/>
      <c r="I895" s="1262"/>
      <c r="J895" s="1263"/>
      <c r="K895" s="1262"/>
    </row>
    <row r="896" spans="1:11" s="1234" customFormat="1">
      <c r="A896" s="1260"/>
      <c r="C896" s="1261"/>
      <c r="D896" s="1262"/>
      <c r="E896" s="1261"/>
      <c r="F896" s="1262"/>
      <c r="H896" s="1263"/>
      <c r="I896" s="1262"/>
      <c r="J896" s="1263"/>
      <c r="K896" s="1262"/>
    </row>
    <row r="897" spans="1:11" s="1234" customFormat="1">
      <c r="A897" s="1260"/>
      <c r="C897" s="1261"/>
      <c r="D897" s="1262"/>
      <c r="E897" s="1261"/>
      <c r="F897" s="1262"/>
      <c r="H897" s="1263"/>
      <c r="I897" s="1262"/>
      <c r="J897" s="1263"/>
      <c r="K897" s="1262"/>
    </row>
    <row r="898" spans="1:11" s="1234" customFormat="1">
      <c r="A898" s="1260"/>
      <c r="C898" s="1261"/>
      <c r="D898" s="1262"/>
      <c r="E898" s="1261"/>
      <c r="F898" s="1262"/>
      <c r="H898" s="1263"/>
      <c r="I898" s="1262"/>
      <c r="J898" s="1263"/>
      <c r="K898" s="1262"/>
    </row>
    <row r="899" spans="1:11" s="1234" customFormat="1">
      <c r="A899" s="1260"/>
      <c r="C899" s="1261"/>
      <c r="D899" s="1262"/>
      <c r="E899" s="1261"/>
      <c r="F899" s="1262"/>
      <c r="H899" s="1263"/>
      <c r="I899" s="1262"/>
      <c r="J899" s="1263"/>
      <c r="K899" s="1262"/>
    </row>
    <row r="900" spans="1:11" s="1234" customFormat="1">
      <c r="A900" s="1260"/>
      <c r="C900" s="1261"/>
      <c r="D900" s="1262"/>
      <c r="E900" s="1261"/>
      <c r="F900" s="1262"/>
      <c r="H900" s="1263"/>
      <c r="I900" s="1262"/>
      <c r="J900" s="1263"/>
      <c r="K900" s="1262"/>
    </row>
    <row r="901" spans="1:11" s="1234" customFormat="1">
      <c r="A901" s="1260"/>
      <c r="C901" s="1261"/>
      <c r="D901" s="1262"/>
      <c r="E901" s="1261"/>
      <c r="F901" s="1262"/>
      <c r="H901" s="1263"/>
      <c r="I901" s="1262"/>
      <c r="J901" s="1263"/>
      <c r="K901" s="1262"/>
    </row>
    <row r="902" spans="1:11" s="1234" customFormat="1">
      <c r="A902" s="1260"/>
      <c r="C902" s="1261"/>
      <c r="D902" s="1262"/>
      <c r="E902" s="1261"/>
      <c r="F902" s="1262"/>
      <c r="H902" s="1263"/>
      <c r="I902" s="1262"/>
      <c r="J902" s="1263"/>
      <c r="K902" s="1262"/>
    </row>
    <row r="903" spans="1:11" s="1234" customFormat="1">
      <c r="A903" s="1260"/>
      <c r="C903" s="1261"/>
      <c r="D903" s="1262"/>
      <c r="E903" s="1261"/>
      <c r="F903" s="1262"/>
      <c r="H903" s="1263"/>
      <c r="I903" s="1262"/>
      <c r="J903" s="1263"/>
      <c r="K903" s="1262"/>
    </row>
    <row r="904" spans="1:11" s="1234" customFormat="1">
      <c r="A904" s="1260"/>
      <c r="C904" s="1261"/>
      <c r="D904" s="1262"/>
      <c r="E904" s="1261"/>
      <c r="F904" s="1262"/>
      <c r="H904" s="1263"/>
      <c r="I904" s="1262"/>
      <c r="J904" s="1263"/>
      <c r="K904" s="1262"/>
    </row>
    <row r="905" spans="1:11" s="1234" customFormat="1">
      <c r="A905" s="1260"/>
      <c r="C905" s="1261"/>
      <c r="D905" s="1262"/>
      <c r="E905" s="1261"/>
      <c r="F905" s="1262"/>
      <c r="H905" s="1263"/>
      <c r="I905" s="1262"/>
      <c r="J905" s="1263"/>
      <c r="K905" s="1262"/>
    </row>
    <row r="906" spans="1:11" s="1234" customFormat="1">
      <c r="A906" s="1260"/>
      <c r="C906" s="1261"/>
      <c r="D906" s="1262"/>
      <c r="E906" s="1261"/>
      <c r="F906" s="1262"/>
      <c r="H906" s="1263"/>
      <c r="I906" s="1262"/>
      <c r="J906" s="1263"/>
      <c r="K906" s="1262"/>
    </row>
    <row r="907" spans="1:11" s="1234" customFormat="1">
      <c r="A907" s="1260"/>
      <c r="C907" s="1261"/>
      <c r="D907" s="1262"/>
      <c r="E907" s="1261"/>
      <c r="F907" s="1262"/>
      <c r="H907" s="1263"/>
      <c r="I907" s="1262"/>
      <c r="J907" s="1263"/>
      <c r="K907" s="1262"/>
    </row>
    <row r="908" spans="1:11" s="1234" customFormat="1">
      <c r="A908" s="1260"/>
      <c r="C908" s="1261"/>
      <c r="D908" s="1262"/>
      <c r="E908" s="1261"/>
      <c r="F908" s="1262"/>
      <c r="H908" s="1263"/>
      <c r="I908" s="1262"/>
      <c r="J908" s="1263"/>
      <c r="K908" s="1262"/>
    </row>
    <row r="909" spans="1:11" s="1234" customFormat="1">
      <c r="A909" s="1260"/>
      <c r="C909" s="1261"/>
      <c r="D909" s="1262"/>
      <c r="E909" s="1261"/>
      <c r="F909" s="1262"/>
      <c r="H909" s="1263"/>
      <c r="I909" s="1262"/>
      <c r="J909" s="1263"/>
      <c r="K909" s="1262"/>
    </row>
    <row r="910" spans="1:11" s="1234" customFormat="1">
      <c r="A910" s="1260"/>
      <c r="C910" s="1261"/>
      <c r="D910" s="1262"/>
      <c r="E910" s="1261"/>
      <c r="F910" s="1262"/>
      <c r="H910" s="1263"/>
      <c r="I910" s="1262"/>
      <c r="J910" s="1263"/>
      <c r="K910" s="1262"/>
    </row>
    <row r="911" spans="1:11" s="1234" customFormat="1">
      <c r="A911" s="1260"/>
      <c r="C911" s="1261"/>
      <c r="D911" s="1262"/>
      <c r="E911" s="1261"/>
      <c r="F911" s="1262"/>
      <c r="H911" s="1263"/>
      <c r="I911" s="1262"/>
      <c r="J911" s="1263"/>
      <c r="K911" s="1262"/>
    </row>
    <row r="912" spans="1:11" s="1234" customFormat="1">
      <c r="A912" s="1260"/>
      <c r="C912" s="1261"/>
      <c r="D912" s="1262"/>
      <c r="E912" s="1261"/>
      <c r="F912" s="1262"/>
      <c r="H912" s="1263"/>
      <c r="I912" s="1262"/>
      <c r="J912" s="1263"/>
      <c r="K912" s="1262"/>
    </row>
    <row r="913" spans="1:11" s="1234" customFormat="1">
      <c r="A913" s="1260"/>
      <c r="C913" s="1261"/>
      <c r="D913" s="1262"/>
      <c r="E913" s="1261"/>
      <c r="F913" s="1262"/>
      <c r="H913" s="1263"/>
      <c r="I913" s="1262"/>
      <c r="J913" s="1263"/>
      <c r="K913" s="1262"/>
    </row>
    <row r="914" spans="1:11" s="1234" customFormat="1">
      <c r="A914" s="1260"/>
      <c r="C914" s="1261"/>
      <c r="D914" s="1262"/>
      <c r="E914" s="1261"/>
      <c r="F914" s="1262"/>
      <c r="H914" s="1263"/>
      <c r="I914" s="1262"/>
      <c r="J914" s="1263"/>
      <c r="K914" s="1262"/>
    </row>
    <row r="915" spans="1:11" s="1234" customFormat="1">
      <c r="A915" s="1260"/>
      <c r="C915" s="1261"/>
      <c r="D915" s="1262"/>
      <c r="E915" s="1261"/>
      <c r="F915" s="1262"/>
      <c r="H915" s="1263"/>
      <c r="I915" s="1262"/>
      <c r="J915" s="1263"/>
      <c r="K915" s="1262"/>
    </row>
    <row r="916" spans="1:11" s="1234" customFormat="1">
      <c r="A916" s="1260"/>
      <c r="C916" s="1261"/>
      <c r="D916" s="1262"/>
      <c r="E916" s="1261"/>
      <c r="F916" s="1262"/>
      <c r="H916" s="1263"/>
      <c r="I916" s="1262"/>
      <c r="J916" s="1263"/>
      <c r="K916" s="1262"/>
    </row>
    <row r="917" spans="1:11" s="1234" customFormat="1">
      <c r="A917" s="1260"/>
      <c r="C917" s="1261"/>
      <c r="D917" s="1262"/>
      <c r="E917" s="1261"/>
      <c r="F917" s="1262"/>
      <c r="H917" s="1263"/>
      <c r="I917" s="1262"/>
      <c r="J917" s="1263"/>
      <c r="K917" s="1262"/>
    </row>
    <row r="918" spans="1:11" s="1234" customFormat="1">
      <c r="A918" s="1260"/>
      <c r="C918" s="1261"/>
      <c r="D918" s="1262"/>
      <c r="E918" s="1261"/>
      <c r="F918" s="1262"/>
      <c r="H918" s="1263"/>
      <c r="I918" s="1262"/>
      <c r="J918" s="1263"/>
      <c r="K918" s="1262"/>
    </row>
    <row r="919" spans="1:11" s="1234" customFormat="1">
      <c r="A919" s="1260"/>
      <c r="C919" s="1261"/>
      <c r="D919" s="1262"/>
      <c r="E919" s="1261"/>
      <c r="F919" s="1262"/>
      <c r="H919" s="1263"/>
      <c r="I919" s="1262"/>
      <c r="J919" s="1263"/>
      <c r="K919" s="1262"/>
    </row>
    <row r="920" spans="1:11" s="1234" customFormat="1">
      <c r="A920" s="1260"/>
      <c r="C920" s="1261"/>
      <c r="D920" s="1262"/>
      <c r="E920" s="1261"/>
      <c r="F920" s="1262"/>
      <c r="H920" s="1263"/>
      <c r="I920" s="1262"/>
      <c r="J920" s="1263"/>
      <c r="K920" s="1262"/>
    </row>
    <row r="921" spans="1:11" s="1234" customFormat="1">
      <c r="A921" s="1260"/>
      <c r="C921" s="1261"/>
      <c r="D921" s="1262"/>
      <c r="E921" s="1261"/>
      <c r="F921" s="1262"/>
      <c r="H921" s="1263"/>
      <c r="I921" s="1262"/>
      <c r="J921" s="1263"/>
      <c r="K921" s="1262"/>
    </row>
    <row r="922" spans="1:11" s="1234" customFormat="1">
      <c r="A922" s="1260"/>
      <c r="C922" s="1261"/>
      <c r="D922" s="1262"/>
      <c r="E922" s="1261"/>
      <c r="F922" s="1262"/>
      <c r="H922" s="1263"/>
      <c r="I922" s="1262"/>
      <c r="J922" s="1263"/>
      <c r="K922" s="1262"/>
    </row>
    <row r="923" spans="1:11" s="1234" customFormat="1">
      <c r="A923" s="1260"/>
      <c r="C923" s="1261"/>
      <c r="D923" s="1262"/>
      <c r="E923" s="1261"/>
      <c r="F923" s="1262"/>
      <c r="H923" s="1263"/>
      <c r="I923" s="1262"/>
      <c r="J923" s="1263"/>
      <c r="K923" s="1262"/>
    </row>
    <row r="924" spans="1:11" s="1234" customFormat="1">
      <c r="A924" s="1260"/>
      <c r="C924" s="1261"/>
      <c r="D924" s="1262"/>
      <c r="E924" s="1261"/>
      <c r="F924" s="1262"/>
      <c r="H924" s="1263"/>
      <c r="I924" s="1262"/>
      <c r="J924" s="1263"/>
      <c r="K924" s="1262"/>
    </row>
    <row r="925" spans="1:11" s="1234" customFormat="1">
      <c r="A925" s="1260"/>
      <c r="C925" s="1261"/>
      <c r="D925" s="1262"/>
      <c r="E925" s="1261"/>
      <c r="F925" s="1262"/>
      <c r="H925" s="1263"/>
      <c r="I925" s="1262"/>
      <c r="J925" s="1263"/>
      <c r="K925" s="1262"/>
    </row>
    <row r="926" spans="1:11" s="1234" customFormat="1">
      <c r="A926" s="1260"/>
      <c r="C926" s="1261"/>
      <c r="D926" s="1262"/>
      <c r="E926" s="1261"/>
      <c r="F926" s="1262"/>
      <c r="H926" s="1263"/>
      <c r="I926" s="1262"/>
      <c r="J926" s="1263"/>
      <c r="K926" s="1262"/>
    </row>
    <row r="927" spans="1:11" s="1234" customFormat="1">
      <c r="A927" s="1260"/>
      <c r="C927" s="1261"/>
      <c r="D927" s="1262"/>
      <c r="E927" s="1261"/>
      <c r="F927" s="1262"/>
      <c r="H927" s="1263"/>
      <c r="I927" s="1262"/>
      <c r="J927" s="1263"/>
      <c r="K927" s="1262"/>
    </row>
    <row r="928" spans="1:11" s="1234" customFormat="1">
      <c r="A928" s="1260"/>
      <c r="C928" s="1261"/>
      <c r="D928" s="1262"/>
      <c r="E928" s="1261"/>
      <c r="F928" s="1262"/>
      <c r="H928" s="1263"/>
      <c r="I928" s="1262"/>
      <c r="J928" s="1263"/>
      <c r="K928" s="1262"/>
    </row>
    <row r="929" spans="1:11" s="1234" customFormat="1">
      <c r="A929" s="1260"/>
      <c r="C929" s="1261"/>
      <c r="D929" s="1262"/>
      <c r="E929" s="1261"/>
      <c r="F929" s="1262"/>
      <c r="H929" s="1263"/>
      <c r="I929" s="1262"/>
      <c r="J929" s="1263"/>
      <c r="K929" s="1262"/>
    </row>
    <row r="930" spans="1:11" s="1234" customFormat="1">
      <c r="A930" s="1260"/>
      <c r="C930" s="1261"/>
      <c r="D930" s="1262"/>
      <c r="E930" s="1261"/>
      <c r="F930" s="1262"/>
      <c r="H930" s="1263"/>
      <c r="I930" s="1262"/>
      <c r="J930" s="1263"/>
      <c r="K930" s="1262"/>
    </row>
    <row r="931" spans="1:11" s="1234" customFormat="1">
      <c r="A931" s="1260"/>
      <c r="C931" s="1261"/>
      <c r="D931" s="1262"/>
      <c r="E931" s="1261"/>
      <c r="F931" s="1262"/>
      <c r="H931" s="1263"/>
      <c r="I931" s="1262"/>
      <c r="J931" s="1263"/>
      <c r="K931" s="1262"/>
    </row>
    <row r="932" spans="1:11" s="1234" customFormat="1">
      <c r="A932" s="1260"/>
      <c r="C932" s="1261"/>
      <c r="D932" s="1262"/>
      <c r="E932" s="1261"/>
      <c r="F932" s="1262"/>
      <c r="H932" s="1263"/>
      <c r="I932" s="1262"/>
      <c r="J932" s="1263"/>
      <c r="K932" s="1262"/>
    </row>
    <row r="933" spans="1:11" s="1234" customFormat="1">
      <c r="A933" s="1260"/>
      <c r="C933" s="1261"/>
      <c r="D933" s="1262"/>
      <c r="E933" s="1261"/>
      <c r="F933" s="1262"/>
      <c r="H933" s="1263"/>
      <c r="I933" s="1262"/>
      <c r="J933" s="1263"/>
      <c r="K933" s="1262"/>
    </row>
    <row r="934" spans="1:11" s="1234" customFormat="1">
      <c r="A934" s="1260"/>
      <c r="C934" s="1261"/>
      <c r="D934" s="1262"/>
      <c r="E934" s="1261"/>
      <c r="F934" s="1262"/>
      <c r="H934" s="1263"/>
      <c r="I934" s="1262"/>
      <c r="J934" s="1263"/>
      <c r="K934" s="1262"/>
    </row>
    <row r="935" spans="1:11" s="1234" customFormat="1">
      <c r="A935" s="1260"/>
      <c r="C935" s="1261"/>
      <c r="D935" s="1262"/>
      <c r="E935" s="1261"/>
      <c r="F935" s="1262"/>
      <c r="H935" s="1263"/>
      <c r="I935" s="1262"/>
      <c r="J935" s="1263"/>
      <c r="K935" s="1262"/>
    </row>
    <row r="936" spans="1:11" s="1234" customFormat="1">
      <c r="A936" s="1260"/>
      <c r="C936" s="1261"/>
      <c r="D936" s="1262"/>
      <c r="E936" s="1261"/>
      <c r="F936" s="1262"/>
      <c r="H936" s="1263"/>
      <c r="I936" s="1262"/>
      <c r="J936" s="1263"/>
      <c r="K936" s="1262"/>
    </row>
    <row r="937" spans="1:11" s="1234" customFormat="1">
      <c r="A937" s="1260"/>
      <c r="C937" s="1261"/>
      <c r="D937" s="1262"/>
      <c r="E937" s="1261"/>
      <c r="F937" s="1262"/>
      <c r="H937" s="1263"/>
      <c r="I937" s="1262"/>
      <c r="J937" s="1263"/>
      <c r="K937" s="1262"/>
    </row>
    <row r="938" spans="1:11" s="1234" customFormat="1">
      <c r="A938" s="1260"/>
      <c r="C938" s="1261"/>
      <c r="D938" s="1262"/>
      <c r="E938" s="1261"/>
      <c r="F938" s="1262"/>
      <c r="H938" s="1263"/>
      <c r="I938" s="1262"/>
      <c r="J938" s="1263"/>
      <c r="K938" s="1262"/>
    </row>
    <row r="939" spans="1:11" s="1234" customFormat="1">
      <c r="A939" s="1260"/>
      <c r="C939" s="1261"/>
      <c r="D939" s="1262"/>
      <c r="E939" s="1261"/>
      <c r="F939" s="1262"/>
      <c r="H939" s="1263"/>
      <c r="I939" s="1262"/>
      <c r="J939" s="1263"/>
      <c r="K939" s="1262"/>
    </row>
    <row r="940" spans="1:11" s="1234" customFormat="1">
      <c r="A940" s="1260"/>
      <c r="C940" s="1261"/>
      <c r="D940" s="1262"/>
      <c r="E940" s="1261"/>
      <c r="F940" s="1262"/>
      <c r="H940" s="1263"/>
      <c r="I940" s="1262"/>
      <c r="J940" s="1263"/>
      <c r="K940" s="1262"/>
    </row>
    <row r="941" spans="1:11" s="1234" customFormat="1">
      <c r="A941" s="1260"/>
      <c r="C941" s="1261"/>
      <c r="D941" s="1262"/>
      <c r="E941" s="1261"/>
      <c r="F941" s="1262"/>
      <c r="H941" s="1263"/>
      <c r="I941" s="1262"/>
      <c r="J941" s="1263"/>
      <c r="K941" s="1262"/>
    </row>
    <row r="942" spans="1:11" s="1234" customFormat="1">
      <c r="A942" s="1260"/>
      <c r="C942" s="1261"/>
      <c r="D942" s="1262"/>
      <c r="E942" s="1261"/>
      <c r="F942" s="1262"/>
      <c r="H942" s="1263"/>
      <c r="I942" s="1262"/>
      <c r="J942" s="1263"/>
      <c r="K942" s="1262"/>
    </row>
    <row r="943" spans="1:11" s="1234" customFormat="1">
      <c r="A943" s="1260"/>
      <c r="C943" s="1261"/>
      <c r="D943" s="1262"/>
      <c r="E943" s="1261"/>
      <c r="F943" s="1262"/>
      <c r="H943" s="1263"/>
      <c r="I943" s="1262"/>
      <c r="J943" s="1263"/>
      <c r="K943" s="1262"/>
    </row>
    <row r="944" spans="1:11" s="1234" customFormat="1">
      <c r="A944" s="1260"/>
      <c r="C944" s="1261"/>
      <c r="D944" s="1262"/>
      <c r="E944" s="1261"/>
      <c r="F944" s="1262"/>
      <c r="H944" s="1263"/>
      <c r="I944" s="1262"/>
      <c r="J944" s="1263"/>
      <c r="K944" s="1262"/>
    </row>
    <row r="945" spans="1:11" s="1234" customFormat="1">
      <c r="A945" s="1260"/>
      <c r="C945" s="1261"/>
      <c r="D945" s="1262"/>
      <c r="E945" s="1261"/>
      <c r="F945" s="1262"/>
      <c r="H945" s="1263"/>
      <c r="I945" s="1262"/>
      <c r="J945" s="1263"/>
      <c r="K945" s="1262"/>
    </row>
    <row r="946" spans="1:11" s="1234" customFormat="1">
      <c r="A946" s="1260"/>
      <c r="C946" s="1261"/>
      <c r="D946" s="1262"/>
      <c r="E946" s="1261"/>
      <c r="F946" s="1262"/>
      <c r="H946" s="1263"/>
      <c r="I946" s="1262"/>
      <c r="J946" s="1263"/>
      <c r="K946" s="1262"/>
    </row>
    <row r="947" spans="1:11" s="1234" customFormat="1">
      <c r="A947" s="1260"/>
      <c r="C947" s="1261"/>
      <c r="D947" s="1262"/>
      <c r="E947" s="1261"/>
      <c r="F947" s="1262"/>
      <c r="H947" s="1263"/>
      <c r="I947" s="1262"/>
      <c r="J947" s="1263"/>
      <c r="K947" s="1262"/>
    </row>
    <row r="948" spans="1:11" s="1234" customFormat="1">
      <c r="A948" s="1260"/>
      <c r="C948" s="1261"/>
      <c r="D948" s="1262"/>
      <c r="E948" s="1261"/>
      <c r="F948" s="1262"/>
      <c r="H948" s="1263"/>
      <c r="I948" s="1262"/>
      <c r="J948" s="1263"/>
      <c r="K948" s="1262"/>
    </row>
    <row r="949" spans="1:11" s="1234" customFormat="1">
      <c r="A949" s="1260"/>
      <c r="C949" s="1261"/>
      <c r="D949" s="1262"/>
      <c r="E949" s="1261"/>
      <c r="F949" s="1262"/>
      <c r="H949" s="1263"/>
      <c r="I949" s="1262"/>
      <c r="J949" s="1263"/>
      <c r="K949" s="1262"/>
    </row>
    <row r="950" spans="1:11" s="1234" customFormat="1">
      <c r="A950" s="1260"/>
      <c r="C950" s="1261"/>
      <c r="D950" s="1262"/>
      <c r="E950" s="1261"/>
      <c r="F950" s="1262"/>
      <c r="H950" s="1263"/>
      <c r="I950" s="1262"/>
      <c r="J950" s="1263"/>
      <c r="K950" s="1262"/>
    </row>
    <row r="951" spans="1:11" s="1234" customFormat="1">
      <c r="A951" s="1260"/>
      <c r="C951" s="1261"/>
      <c r="D951" s="1262"/>
      <c r="E951" s="1261"/>
      <c r="F951" s="1262"/>
      <c r="H951" s="1263"/>
      <c r="I951" s="1262"/>
      <c r="J951" s="1263"/>
      <c r="K951" s="1262"/>
    </row>
    <row r="952" spans="1:11" s="1234" customFormat="1">
      <c r="A952" s="1260"/>
      <c r="C952" s="1261"/>
      <c r="D952" s="1262"/>
      <c r="E952" s="1261"/>
      <c r="F952" s="1262"/>
      <c r="H952" s="1263"/>
      <c r="I952" s="1262"/>
      <c r="J952" s="1263"/>
      <c r="K952" s="1262"/>
    </row>
    <row r="953" spans="1:11" s="1234" customFormat="1">
      <c r="A953" s="1260"/>
      <c r="C953" s="1261"/>
      <c r="D953" s="1262"/>
      <c r="E953" s="1261"/>
      <c r="F953" s="1262"/>
      <c r="H953" s="1263"/>
      <c r="I953" s="1262"/>
      <c r="J953" s="1263"/>
      <c r="K953" s="1262"/>
    </row>
    <row r="954" spans="1:11" s="1234" customFormat="1">
      <c r="A954" s="1260"/>
      <c r="C954" s="1261"/>
      <c r="D954" s="1262"/>
      <c r="E954" s="1261"/>
      <c r="F954" s="1262"/>
      <c r="H954" s="1263"/>
      <c r="I954" s="1262"/>
      <c r="J954" s="1263"/>
      <c r="K954" s="1262"/>
    </row>
    <row r="955" spans="1:11" s="1234" customFormat="1">
      <c r="A955" s="1260"/>
      <c r="C955" s="1261"/>
      <c r="D955" s="1262"/>
      <c r="E955" s="1261"/>
      <c r="F955" s="1262"/>
      <c r="H955" s="1263"/>
      <c r="I955" s="1262"/>
      <c r="J955" s="1263"/>
      <c r="K955" s="1262"/>
    </row>
    <row r="956" spans="1:11" s="1234" customFormat="1">
      <c r="A956" s="1260"/>
      <c r="C956" s="1261"/>
      <c r="D956" s="1262"/>
      <c r="E956" s="1261"/>
      <c r="F956" s="1262"/>
      <c r="H956" s="1263"/>
      <c r="I956" s="1262"/>
      <c r="J956" s="1263"/>
      <c r="K956" s="1262"/>
    </row>
    <row r="957" spans="1:11" s="1234" customFormat="1">
      <c r="A957" s="1260"/>
      <c r="C957" s="1261"/>
      <c r="D957" s="1262"/>
      <c r="E957" s="1261"/>
      <c r="F957" s="1262"/>
      <c r="H957" s="1263"/>
      <c r="I957" s="1262"/>
      <c r="J957" s="1263"/>
      <c r="K957" s="1262"/>
    </row>
    <row r="958" spans="1:11" s="1234" customFormat="1">
      <c r="A958" s="1260"/>
      <c r="C958" s="1261"/>
      <c r="D958" s="1262"/>
      <c r="E958" s="1261"/>
      <c r="F958" s="1262"/>
      <c r="H958" s="1263"/>
      <c r="I958" s="1262"/>
      <c r="J958" s="1263"/>
      <c r="K958" s="1262"/>
    </row>
    <row r="959" spans="1:11" s="1234" customFormat="1">
      <c r="A959" s="1260"/>
      <c r="C959" s="1261"/>
      <c r="D959" s="1262"/>
      <c r="E959" s="1261"/>
      <c r="F959" s="1262"/>
      <c r="H959" s="1263"/>
      <c r="I959" s="1262"/>
      <c r="J959" s="1263"/>
      <c r="K959" s="1262"/>
    </row>
    <row r="960" spans="1:11" s="1234" customFormat="1">
      <c r="A960" s="1260"/>
      <c r="C960" s="1261"/>
      <c r="D960" s="1262"/>
      <c r="E960" s="1261"/>
      <c r="F960" s="1262"/>
      <c r="H960" s="1263"/>
      <c r="I960" s="1262"/>
      <c r="J960" s="1263"/>
      <c r="K960" s="1262"/>
    </row>
    <row r="961" spans="1:11" s="1234" customFormat="1">
      <c r="A961" s="1260"/>
      <c r="C961" s="1261"/>
      <c r="D961" s="1262"/>
      <c r="E961" s="1261"/>
      <c r="F961" s="1262"/>
      <c r="H961" s="1263"/>
      <c r="I961" s="1262"/>
      <c r="J961" s="1263"/>
      <c r="K961" s="1262"/>
    </row>
    <row r="962" spans="1:11" s="1234" customFormat="1">
      <c r="A962" s="1260"/>
      <c r="C962" s="1261"/>
      <c r="D962" s="1262"/>
      <c r="E962" s="1261"/>
      <c r="F962" s="1262"/>
      <c r="H962" s="1263"/>
      <c r="I962" s="1262"/>
      <c r="J962" s="1263"/>
      <c r="K962" s="1262"/>
    </row>
    <row r="963" spans="1:11" s="1234" customFormat="1">
      <c r="A963" s="1260"/>
      <c r="C963" s="1261"/>
      <c r="D963" s="1262"/>
      <c r="E963" s="1261"/>
      <c r="F963" s="1262"/>
      <c r="H963" s="1263"/>
      <c r="I963" s="1262"/>
      <c r="J963" s="1263"/>
      <c r="K963" s="1262"/>
    </row>
    <row r="964" spans="1:11" s="1234" customFormat="1">
      <c r="A964" s="1260"/>
      <c r="C964" s="1261"/>
      <c r="D964" s="1262"/>
      <c r="E964" s="1261"/>
      <c r="F964" s="1262"/>
      <c r="H964" s="1263"/>
      <c r="I964" s="1262"/>
      <c r="J964" s="1263"/>
      <c r="K964" s="1262"/>
    </row>
  </sheetData>
  <mergeCells count="7">
    <mergeCell ref="E1:K1"/>
    <mergeCell ref="E2:K2"/>
    <mergeCell ref="A5:A6"/>
    <mergeCell ref="B5:E5"/>
    <mergeCell ref="G5:K5"/>
    <mergeCell ref="A3:K3"/>
    <mergeCell ref="A4:K4"/>
  </mergeCells>
  <phoneticPr fontId="18" type="noConversion"/>
  <pageMargins left="0.55118110236220474" right="0.23622047244094491" top="0.35433070866141736" bottom="0.47244094488188981" header="0.31496062992125984" footer="0.31496062992125984"/>
  <pageSetup paperSize="9" scale="80" orientation="landscape" r:id="rId1"/>
  <headerFooter>
    <oddFooter>Page &amp;P</oddFooter>
  </headerFooter>
  <ignoredErrors>
    <ignoredError sqref="G481 C482:G491 C481:F481 C492:G493 K481 H482:K491 H481:J481 H492:K493" formulaRange="1"/>
    <ignoredError sqref="B481 B471:B480" numberStoredAsText="1"/>
  </ignoredErrors>
  <drawing r:id="rId2"/>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FF061-4815-4416-B96C-5CA1713D95A0}">
  <dimension ref="A1:K133"/>
  <sheetViews>
    <sheetView topLeftCell="B2" workbookViewId="0">
      <selection activeCell="H137" sqref="H137"/>
    </sheetView>
  </sheetViews>
  <sheetFormatPr defaultRowHeight="18"/>
  <cols>
    <col min="1" max="1" width="5.375" style="1149" hidden="1" customWidth="1"/>
    <col min="2" max="2" width="10.625" style="1139" customWidth="1"/>
    <col min="3" max="3" width="21.75" style="1142" customWidth="1"/>
    <col min="4" max="4" width="10.75" style="1140" customWidth="1"/>
    <col min="5" max="5" width="10.125" style="1140" hidden="1" customWidth="1"/>
    <col min="6" max="6" width="15.75" style="1140" customWidth="1"/>
    <col min="7" max="7" width="13.5" style="1140" customWidth="1"/>
    <col min="8" max="8" width="22.625" style="1146" customWidth="1"/>
    <col min="9" max="10" width="0" style="1146" hidden="1" customWidth="1"/>
    <col min="11" max="11" width="24.625" style="1146" customWidth="1"/>
    <col min="12" max="16384" width="9" style="1146"/>
  </cols>
  <sheetData>
    <row r="1" spans="1:10" ht="18.75">
      <c r="B1" s="1208" t="s">
        <v>2645</v>
      </c>
      <c r="C1" s="1208"/>
      <c r="D1" s="1208"/>
      <c r="E1" s="1208"/>
      <c r="F1" s="1208"/>
      <c r="G1" s="1208"/>
    </row>
    <row r="2" spans="1:10" ht="18.75">
      <c r="B2" s="1207"/>
      <c r="C2" s="1207"/>
      <c r="D2" s="1207"/>
      <c r="E2" s="1207"/>
      <c r="F2" s="1207"/>
      <c r="G2" s="1148"/>
    </row>
    <row r="3" spans="1:10" ht="31.5">
      <c r="A3" s="1145"/>
      <c r="B3" s="1134" t="str">
        <f>+'[3]Tổng hợp'!A5</f>
        <v>TT</v>
      </c>
      <c r="C3" s="1135" t="str">
        <f>+'[3]Tổng hợp'!B5</f>
        <v>Tên xã</v>
      </c>
      <c r="D3" s="1136" t="s">
        <v>2050</v>
      </c>
      <c r="E3" s="1136" t="s">
        <v>2029</v>
      </c>
      <c r="F3" s="1136" t="s">
        <v>2051</v>
      </c>
      <c r="G3" s="1136" t="s">
        <v>2135</v>
      </c>
    </row>
    <row r="4" spans="1:10" s="1152" customFormat="1" ht="15.75">
      <c r="A4" s="1150"/>
      <c r="B4" s="1134"/>
      <c r="C4" s="1141" t="str">
        <f>+'[3]Tổng hợp'!B6</f>
        <v>Tổng cộng</v>
      </c>
      <c r="D4" s="1144" t="e">
        <f>+D5+D14+D24+D35+D48+D60+D72+D86+D91+D95+D112+D119</f>
        <v>#REF!</v>
      </c>
      <c r="E4" s="1144" t="e">
        <f>+E5+E14+E24+E35+E48+E60+E72+E86+E91+E95+E112+E119</f>
        <v>#REF!</v>
      </c>
      <c r="F4" s="1144" t="e">
        <f>+F5+F14+F24+F35+F48+F60+F72+F86+F91+F95+F112+F119+F133</f>
        <v>#REF!</v>
      </c>
      <c r="G4" s="1144"/>
      <c r="H4" s="1151" t="e">
        <f>+#REF!</f>
        <v>#REF!</v>
      </c>
    </row>
    <row r="5" spans="1:10" s="1152" customFormat="1" ht="15.75">
      <c r="A5" s="1150"/>
      <c r="B5" s="1137">
        <v>1</v>
      </c>
      <c r="C5" s="1138" t="e">
        <f>+#REF!</f>
        <v>#REF!</v>
      </c>
      <c r="D5" s="1143" t="e">
        <f>SUM(D6:D13)</f>
        <v>#REF!</v>
      </c>
      <c r="E5" s="1143" t="e">
        <f>SUM(E6:E13)</f>
        <v>#REF!</v>
      </c>
      <c r="F5" s="1143" t="e">
        <f>SUM(F6:F13)</f>
        <v>#REF!</v>
      </c>
      <c r="G5" s="1143"/>
      <c r="H5" s="1152" t="s">
        <v>1777</v>
      </c>
    </row>
    <row r="6" spans="1:10" ht="15.75" hidden="1">
      <c r="A6" s="1145">
        <v>1</v>
      </c>
      <c r="B6" s="1137" t="e">
        <f>+#REF!</f>
        <v>#REF!</v>
      </c>
      <c r="C6" s="1138" t="e">
        <f>+#REF!</f>
        <v>#REF!</v>
      </c>
      <c r="D6" s="1143" t="e">
        <f>+#REF!</f>
        <v>#REF!</v>
      </c>
      <c r="E6" s="1143" t="e">
        <f>+#REF!</f>
        <v>#REF!</v>
      </c>
      <c r="F6" s="1143" t="e">
        <f>+#REF!</f>
        <v>#REF!</v>
      </c>
      <c r="G6" s="1143"/>
      <c r="H6" s="1146" t="s">
        <v>2052</v>
      </c>
      <c r="I6" s="1143">
        <v>47.3</v>
      </c>
      <c r="J6" s="1147" t="e">
        <f>+F6-I6</f>
        <v>#REF!</v>
      </c>
    </row>
    <row r="7" spans="1:10" ht="15.75" hidden="1">
      <c r="A7" s="1145">
        <f>+MAX(A4:A6)+1</f>
        <v>2</v>
      </c>
      <c r="B7" s="1137" t="e">
        <f>+#REF!</f>
        <v>#REF!</v>
      </c>
      <c r="C7" s="1138" t="e">
        <f>+#REF!</f>
        <v>#REF!</v>
      </c>
      <c r="D7" s="1143" t="e">
        <f>+#REF!</f>
        <v>#REF!</v>
      </c>
      <c r="E7" s="1143" t="e">
        <f>+#REF!</f>
        <v>#REF!</v>
      </c>
      <c r="F7" s="1143" t="e">
        <f>+#REF!</f>
        <v>#REF!</v>
      </c>
      <c r="G7" s="1143"/>
      <c r="H7" s="1146" t="s">
        <v>2052</v>
      </c>
      <c r="I7" s="1143">
        <v>339.2</v>
      </c>
      <c r="J7" s="1147" t="e">
        <f t="shared" ref="J7:J70" si="0">+F7-I7</f>
        <v>#REF!</v>
      </c>
    </row>
    <row r="8" spans="1:10" ht="15.75" hidden="1">
      <c r="A8" s="1145">
        <f t="shared" ref="A8:A9" si="1">+MAX(A5:A7)+1</f>
        <v>3</v>
      </c>
      <c r="B8" s="1137" t="e">
        <f>+#REF!</f>
        <v>#REF!</v>
      </c>
      <c r="C8" s="1138" t="e">
        <f>+#REF!</f>
        <v>#REF!</v>
      </c>
      <c r="D8" s="1143" t="e">
        <f>+#REF!</f>
        <v>#REF!</v>
      </c>
      <c r="E8" s="1143" t="e">
        <f>+#REF!</f>
        <v>#REF!</v>
      </c>
      <c r="F8" s="1143" t="e">
        <f>+#REF!</f>
        <v>#REF!</v>
      </c>
      <c r="G8" s="1143"/>
      <c r="H8" s="1146" t="s">
        <v>2052</v>
      </c>
      <c r="I8" s="1143">
        <v>804.99999999999989</v>
      </c>
      <c r="J8" s="1147" t="e">
        <f t="shared" si="0"/>
        <v>#REF!</v>
      </c>
    </row>
    <row r="9" spans="1:10" ht="15.75" hidden="1">
      <c r="A9" s="1145">
        <f t="shared" si="1"/>
        <v>4</v>
      </c>
      <c r="B9" s="1137" t="e">
        <f>+#REF!</f>
        <v>#REF!</v>
      </c>
      <c r="C9" s="1138" t="e">
        <f>+#REF!</f>
        <v>#REF!</v>
      </c>
      <c r="D9" s="1143" t="e">
        <f>+#REF!</f>
        <v>#REF!</v>
      </c>
      <c r="E9" s="1143" t="e">
        <f>+#REF!</f>
        <v>#REF!</v>
      </c>
      <c r="F9" s="1143" t="e">
        <f>+#REF!</f>
        <v>#REF!</v>
      </c>
      <c r="G9" s="1143"/>
      <c r="H9" s="1146" t="s">
        <v>2052</v>
      </c>
      <c r="I9" s="1143">
        <v>420.09999999999997</v>
      </c>
      <c r="J9" s="1147" t="e">
        <f t="shared" si="0"/>
        <v>#REF!</v>
      </c>
    </row>
    <row r="10" spans="1:10" ht="15.75" hidden="1">
      <c r="A10" s="1145">
        <f>+MAX(A9:A9)+1</f>
        <v>5</v>
      </c>
      <c r="B10" s="1137" t="e">
        <f>+#REF!</f>
        <v>#REF!</v>
      </c>
      <c r="C10" s="1138" t="e">
        <f>+#REF!</f>
        <v>#REF!</v>
      </c>
      <c r="D10" s="1143" t="e">
        <f>+#REF!</f>
        <v>#REF!</v>
      </c>
      <c r="E10" s="1143" t="e">
        <f>+#REF!</f>
        <v>#REF!</v>
      </c>
      <c r="F10" s="1143" t="e">
        <f>+#REF!</f>
        <v>#REF!</v>
      </c>
      <c r="G10" s="1143"/>
      <c r="H10" s="1146" t="s">
        <v>2052</v>
      </c>
      <c r="I10" s="1143">
        <v>283.10000000000002</v>
      </c>
      <c r="J10" s="1147" t="e">
        <f t="shared" si="0"/>
        <v>#REF!</v>
      </c>
    </row>
    <row r="11" spans="1:10" ht="15.75" hidden="1">
      <c r="A11" s="1145">
        <f>+MAX(A10:A10)+1</f>
        <v>6</v>
      </c>
      <c r="B11" s="1137" t="e">
        <f>+#REF!</f>
        <v>#REF!</v>
      </c>
      <c r="C11" s="1138" t="e">
        <f>+#REF!</f>
        <v>#REF!</v>
      </c>
      <c r="D11" s="1143" t="e">
        <f>+#REF!</f>
        <v>#REF!</v>
      </c>
      <c r="E11" s="1143" t="e">
        <f>+#REF!</f>
        <v>#REF!</v>
      </c>
      <c r="F11" s="1143" t="e">
        <f>+#REF!</f>
        <v>#REF!</v>
      </c>
      <c r="G11" s="1143"/>
      <c r="H11" s="1146" t="s">
        <v>2052</v>
      </c>
      <c r="I11" s="1143">
        <v>416.7</v>
      </c>
      <c r="J11" s="1147" t="e">
        <f t="shared" si="0"/>
        <v>#REF!</v>
      </c>
    </row>
    <row r="12" spans="1:10" ht="15.75" hidden="1">
      <c r="A12" s="1145">
        <f>+MAX(A11:A11)+1</f>
        <v>7</v>
      </c>
      <c r="B12" s="1137" t="e">
        <f>+#REF!</f>
        <v>#REF!</v>
      </c>
      <c r="C12" s="1138" t="e">
        <f>+#REF!</f>
        <v>#REF!</v>
      </c>
      <c r="D12" s="1143" t="e">
        <f>+#REF!</f>
        <v>#REF!</v>
      </c>
      <c r="E12" s="1143" t="e">
        <f>+#REF!</f>
        <v>#REF!</v>
      </c>
      <c r="F12" s="1143" t="e">
        <f>+#REF!</f>
        <v>#REF!</v>
      </c>
      <c r="G12" s="1143"/>
      <c r="H12" s="1146" t="s">
        <v>2052</v>
      </c>
      <c r="I12" s="1143">
        <v>142</v>
      </c>
      <c r="J12" s="1147" t="e">
        <f t="shared" si="0"/>
        <v>#REF!</v>
      </c>
    </row>
    <row r="13" spans="1:10" ht="15.75" hidden="1">
      <c r="A13" s="1145">
        <f>+MAX(A12:A12)+1</f>
        <v>8</v>
      </c>
      <c r="B13" s="1137" t="e">
        <f>+#REF!</f>
        <v>#REF!</v>
      </c>
      <c r="C13" s="1138" t="e">
        <f>+#REF!</f>
        <v>#REF!</v>
      </c>
      <c r="D13" s="1143" t="e">
        <f>+#REF!</f>
        <v>#REF!</v>
      </c>
      <c r="E13" s="1143" t="e">
        <f>+#REF!</f>
        <v>#REF!</v>
      </c>
      <c r="F13" s="1143" t="e">
        <f>+#REF!</f>
        <v>#REF!</v>
      </c>
      <c r="G13" s="1143"/>
      <c r="H13" s="1146" t="s">
        <v>2052</v>
      </c>
      <c r="I13" s="1143">
        <v>137.9</v>
      </c>
      <c r="J13" s="1147" t="e">
        <f t="shared" si="0"/>
        <v>#REF!</v>
      </c>
    </row>
    <row r="14" spans="1:10" s="1152" customFormat="1" ht="15.75">
      <c r="A14" s="1150"/>
      <c r="B14" s="1137">
        <v>2</v>
      </c>
      <c r="C14" s="1138" t="e">
        <f>+#REF!</f>
        <v>#REF!</v>
      </c>
      <c r="D14" s="1143" t="e">
        <f>SUM(D15:D23)</f>
        <v>#REF!</v>
      </c>
      <c r="E14" s="1143" t="e">
        <f>SUM(E15:E23)</f>
        <v>#REF!</v>
      </c>
      <c r="F14" s="1143" t="e">
        <f>SUM(F15:F23)</f>
        <v>#REF!</v>
      </c>
      <c r="G14" s="1143"/>
      <c r="H14" s="1146" t="s">
        <v>1777</v>
      </c>
      <c r="I14" s="1144">
        <v>1962.3</v>
      </c>
      <c r="J14" s="1147" t="e">
        <f t="shared" si="0"/>
        <v>#REF!</v>
      </c>
    </row>
    <row r="15" spans="1:10" ht="15.75" hidden="1">
      <c r="A15" s="1145">
        <f>+MAX(A14:A14)+1</f>
        <v>1</v>
      </c>
      <c r="B15" s="1137" t="e">
        <f>+#REF!</f>
        <v>#REF!</v>
      </c>
      <c r="C15" s="1138" t="e">
        <f>+#REF!</f>
        <v>#REF!</v>
      </c>
      <c r="D15" s="1143" t="e">
        <f>+#REF!</f>
        <v>#REF!</v>
      </c>
      <c r="E15" s="1143" t="e">
        <f>+#REF!</f>
        <v>#REF!</v>
      </c>
      <c r="F15" s="1143" t="e">
        <f>+#REF!</f>
        <v>#REF!</v>
      </c>
      <c r="G15" s="1143"/>
      <c r="H15" s="1146" t="s">
        <v>2052</v>
      </c>
      <c r="I15" s="1143">
        <v>141.5</v>
      </c>
      <c r="J15" s="1147" t="e">
        <f t="shared" si="0"/>
        <v>#REF!</v>
      </c>
    </row>
    <row r="16" spans="1:10" ht="15.75" hidden="1">
      <c r="A16" s="1145">
        <f>+MAX(A15:A15)+1</f>
        <v>2</v>
      </c>
      <c r="B16" s="1137" t="e">
        <f>+#REF!</f>
        <v>#REF!</v>
      </c>
      <c r="C16" s="1138" t="e">
        <f>+#REF!</f>
        <v>#REF!</v>
      </c>
      <c r="D16" s="1143" t="e">
        <f>+#REF!</f>
        <v>#REF!</v>
      </c>
      <c r="E16" s="1143" t="e">
        <f>+#REF!</f>
        <v>#REF!</v>
      </c>
      <c r="F16" s="1143" t="e">
        <f>+#REF!</f>
        <v>#REF!</v>
      </c>
      <c r="G16" s="1143"/>
      <c r="H16" s="1146" t="s">
        <v>2052</v>
      </c>
      <c r="I16" s="1143">
        <v>429.4</v>
      </c>
      <c r="J16" s="1147" t="e">
        <f t="shared" si="0"/>
        <v>#REF!</v>
      </c>
    </row>
    <row r="17" spans="1:10" ht="15.75" hidden="1">
      <c r="A17" s="1145">
        <f>+MAX(A15:A16)+1</f>
        <v>3</v>
      </c>
      <c r="B17" s="1137" t="e">
        <f>+#REF!</f>
        <v>#REF!</v>
      </c>
      <c r="C17" s="1138" t="e">
        <f>+#REF!</f>
        <v>#REF!</v>
      </c>
      <c r="D17" s="1143" t="e">
        <f>+#REF!</f>
        <v>#REF!</v>
      </c>
      <c r="E17" s="1143" t="e">
        <f>+#REF!</f>
        <v>#REF!</v>
      </c>
      <c r="F17" s="1143" t="e">
        <f>+#REF!</f>
        <v>#REF!</v>
      </c>
      <c r="G17" s="1143"/>
      <c r="H17" s="1146" t="s">
        <v>2052</v>
      </c>
      <c r="I17" s="1143">
        <v>282</v>
      </c>
      <c r="J17" s="1147" t="e">
        <f t="shared" si="0"/>
        <v>#REF!</v>
      </c>
    </row>
    <row r="18" spans="1:10" ht="15.75" hidden="1">
      <c r="A18" s="1145">
        <f t="shared" ref="A18:A23" si="2">+MAX(A15:A17)+1</f>
        <v>4</v>
      </c>
      <c r="B18" s="1137" t="e">
        <f>+#REF!</f>
        <v>#REF!</v>
      </c>
      <c r="C18" s="1138" t="e">
        <f>+#REF!</f>
        <v>#REF!</v>
      </c>
      <c r="D18" s="1143" t="e">
        <f>+#REF!</f>
        <v>#REF!</v>
      </c>
      <c r="E18" s="1143" t="e">
        <f>+#REF!</f>
        <v>#REF!</v>
      </c>
      <c r="F18" s="1143" t="e">
        <f>+#REF!</f>
        <v>#REF!</v>
      </c>
      <c r="G18" s="1143"/>
      <c r="H18" s="1146" t="s">
        <v>2052</v>
      </c>
      <c r="I18" s="1143">
        <v>214.5</v>
      </c>
      <c r="J18" s="1147" t="e">
        <f t="shared" si="0"/>
        <v>#REF!</v>
      </c>
    </row>
    <row r="19" spans="1:10" ht="15.75" hidden="1">
      <c r="A19" s="1145">
        <f t="shared" si="2"/>
        <v>5</v>
      </c>
      <c r="B19" s="1137" t="e">
        <f>+#REF!</f>
        <v>#REF!</v>
      </c>
      <c r="C19" s="1138" t="e">
        <f>+#REF!</f>
        <v>#REF!</v>
      </c>
      <c r="D19" s="1143" t="e">
        <f>+#REF!</f>
        <v>#REF!</v>
      </c>
      <c r="E19" s="1143" t="e">
        <f>+#REF!</f>
        <v>#REF!</v>
      </c>
      <c r="F19" s="1143" t="e">
        <f>+#REF!</f>
        <v>#REF!</v>
      </c>
      <c r="G19" s="1143"/>
      <c r="H19" s="1146" t="s">
        <v>2052</v>
      </c>
      <c r="I19" s="1143">
        <v>116</v>
      </c>
      <c r="J19" s="1147" t="e">
        <f t="shared" si="0"/>
        <v>#REF!</v>
      </c>
    </row>
    <row r="20" spans="1:10" ht="15.75" hidden="1">
      <c r="A20" s="1145">
        <f t="shared" si="2"/>
        <v>6</v>
      </c>
      <c r="B20" s="1137" t="e">
        <f>+#REF!</f>
        <v>#REF!</v>
      </c>
      <c r="C20" s="1138" t="e">
        <f>+#REF!</f>
        <v>#REF!</v>
      </c>
      <c r="D20" s="1143" t="e">
        <f>+#REF!</f>
        <v>#REF!</v>
      </c>
      <c r="E20" s="1143" t="e">
        <f>+#REF!</f>
        <v>#REF!</v>
      </c>
      <c r="F20" s="1143" t="e">
        <f>+#REF!</f>
        <v>#REF!</v>
      </c>
      <c r="G20" s="1143"/>
      <c r="H20" s="1146" t="s">
        <v>2052</v>
      </c>
      <c r="I20" s="1143">
        <v>129.1</v>
      </c>
      <c r="J20" s="1147" t="e">
        <f t="shared" si="0"/>
        <v>#REF!</v>
      </c>
    </row>
    <row r="21" spans="1:10" ht="15.75" hidden="1">
      <c r="A21" s="1145">
        <f t="shared" si="2"/>
        <v>7</v>
      </c>
      <c r="B21" s="1137" t="e">
        <f>+#REF!</f>
        <v>#REF!</v>
      </c>
      <c r="C21" s="1138" t="e">
        <f>+#REF!</f>
        <v>#REF!</v>
      </c>
      <c r="D21" s="1143" t="e">
        <f>+#REF!</f>
        <v>#REF!</v>
      </c>
      <c r="E21" s="1143" t="e">
        <f>+#REF!</f>
        <v>#REF!</v>
      </c>
      <c r="F21" s="1143" t="e">
        <f>+#REF!</f>
        <v>#REF!</v>
      </c>
      <c r="G21" s="1143"/>
      <c r="H21" s="1146" t="s">
        <v>2052</v>
      </c>
      <c r="I21" s="1143">
        <v>157.69999999999996</v>
      </c>
      <c r="J21" s="1147" t="e">
        <f t="shared" si="0"/>
        <v>#REF!</v>
      </c>
    </row>
    <row r="22" spans="1:10" ht="15.75" hidden="1">
      <c r="A22" s="1145">
        <f t="shared" si="2"/>
        <v>8</v>
      </c>
      <c r="B22" s="1137" t="e">
        <f>+#REF!</f>
        <v>#REF!</v>
      </c>
      <c r="C22" s="1138" t="e">
        <f>+#REF!</f>
        <v>#REF!</v>
      </c>
      <c r="D22" s="1143" t="e">
        <f>+#REF!</f>
        <v>#REF!</v>
      </c>
      <c r="E22" s="1143" t="e">
        <f>+#REF!</f>
        <v>#REF!</v>
      </c>
      <c r="F22" s="1143" t="e">
        <f>+#REF!</f>
        <v>#REF!</v>
      </c>
      <c r="G22" s="1143"/>
      <c r="H22" s="1146" t="s">
        <v>2052</v>
      </c>
      <c r="I22" s="1143">
        <v>125.5</v>
      </c>
      <c r="J22" s="1147" t="e">
        <f t="shared" si="0"/>
        <v>#REF!</v>
      </c>
    </row>
    <row r="23" spans="1:10" ht="15.75" hidden="1">
      <c r="A23" s="1145">
        <f t="shared" si="2"/>
        <v>9</v>
      </c>
      <c r="B23" s="1137" t="e">
        <f>+#REF!</f>
        <v>#REF!</v>
      </c>
      <c r="C23" s="1138" t="e">
        <f>+#REF!</f>
        <v>#REF!</v>
      </c>
      <c r="D23" s="1143" t="e">
        <f>+#REF!</f>
        <v>#REF!</v>
      </c>
      <c r="E23" s="1143" t="e">
        <f>+#REF!</f>
        <v>#REF!</v>
      </c>
      <c r="F23" s="1143" t="e">
        <f>+#REF!</f>
        <v>#REF!</v>
      </c>
      <c r="G23" s="1143"/>
      <c r="H23" s="1146" t="s">
        <v>2052</v>
      </c>
      <c r="I23" s="1143">
        <v>145</v>
      </c>
      <c r="J23" s="1147" t="e">
        <f t="shared" si="0"/>
        <v>#REF!</v>
      </c>
    </row>
    <row r="24" spans="1:10" s="1152" customFormat="1" ht="15.75">
      <c r="A24" s="1150"/>
      <c r="B24" s="1137">
        <v>3</v>
      </c>
      <c r="C24" s="1138" t="e">
        <f>+#REF!</f>
        <v>#REF!</v>
      </c>
      <c r="D24" s="1143" t="e">
        <f>SUM(D25:D34)</f>
        <v>#REF!</v>
      </c>
      <c r="E24" s="1143" t="e">
        <f>SUM(E25:E34)</f>
        <v>#REF!</v>
      </c>
      <c r="F24" s="1143" t="e">
        <f>SUM(F25:F34)</f>
        <v>#REF!</v>
      </c>
      <c r="G24" s="1143"/>
      <c r="H24" s="1146" t="s">
        <v>1777</v>
      </c>
      <c r="I24" s="1144">
        <v>2605.5</v>
      </c>
      <c r="J24" s="1147" t="e">
        <f t="shared" si="0"/>
        <v>#REF!</v>
      </c>
    </row>
    <row r="25" spans="1:10" ht="15.75" hidden="1">
      <c r="A25" s="1145">
        <f t="shared" ref="A25:A34" si="3">+MAX(A22:A24)+1</f>
        <v>10</v>
      </c>
      <c r="B25" s="1137" t="e">
        <f>+#REF!</f>
        <v>#REF!</v>
      </c>
      <c r="C25" s="1138" t="e">
        <f>+#REF!</f>
        <v>#REF!</v>
      </c>
      <c r="D25" s="1143" t="e">
        <f>+#REF!</f>
        <v>#REF!</v>
      </c>
      <c r="E25" s="1143" t="e">
        <f>+#REF!</f>
        <v>#REF!</v>
      </c>
      <c r="F25" s="1143" t="e">
        <f>+#REF!</f>
        <v>#REF!</v>
      </c>
      <c r="G25" s="1143"/>
      <c r="H25" s="1146" t="s">
        <v>2052</v>
      </c>
      <c r="I25" s="1143">
        <v>194.89999999999998</v>
      </c>
      <c r="J25" s="1147" t="e">
        <f t="shared" si="0"/>
        <v>#REF!</v>
      </c>
    </row>
    <row r="26" spans="1:10" ht="15.75" hidden="1">
      <c r="A26" s="1145">
        <f t="shared" si="3"/>
        <v>11</v>
      </c>
      <c r="B26" s="1137" t="e">
        <f>+#REF!</f>
        <v>#REF!</v>
      </c>
      <c r="C26" s="1138" t="e">
        <f>+#REF!</f>
        <v>#REF!</v>
      </c>
      <c r="D26" s="1143" t="e">
        <f>+#REF!</f>
        <v>#REF!</v>
      </c>
      <c r="E26" s="1143" t="e">
        <f>+#REF!</f>
        <v>#REF!</v>
      </c>
      <c r="F26" s="1143" t="e">
        <f>+#REF!</f>
        <v>#REF!</v>
      </c>
      <c r="G26" s="1143"/>
      <c r="H26" s="1146" t="s">
        <v>2052</v>
      </c>
      <c r="I26" s="1143">
        <v>571.70000000000005</v>
      </c>
      <c r="J26" s="1147" t="e">
        <f t="shared" si="0"/>
        <v>#REF!</v>
      </c>
    </row>
    <row r="27" spans="1:10" ht="15.75" hidden="1">
      <c r="A27" s="1145">
        <f t="shared" si="3"/>
        <v>12</v>
      </c>
      <c r="B27" s="1137" t="e">
        <f>+#REF!</f>
        <v>#REF!</v>
      </c>
      <c r="C27" s="1138" t="e">
        <f>+#REF!</f>
        <v>#REF!</v>
      </c>
      <c r="D27" s="1143" t="e">
        <f>+#REF!</f>
        <v>#REF!</v>
      </c>
      <c r="E27" s="1143" t="e">
        <f>+#REF!</f>
        <v>#REF!</v>
      </c>
      <c r="F27" s="1143" t="e">
        <f>+#REF!</f>
        <v>#REF!</v>
      </c>
      <c r="G27" s="1143"/>
      <c r="H27" s="1146" t="s">
        <v>2052</v>
      </c>
      <c r="I27" s="1143">
        <v>449.79999999999995</v>
      </c>
      <c r="J27" s="1147" t="e">
        <f t="shared" si="0"/>
        <v>#REF!</v>
      </c>
    </row>
    <row r="28" spans="1:10" ht="15.75" hidden="1">
      <c r="A28" s="1145">
        <f t="shared" si="3"/>
        <v>13</v>
      </c>
      <c r="B28" s="1137" t="e">
        <f>+#REF!</f>
        <v>#REF!</v>
      </c>
      <c r="C28" s="1138" t="e">
        <f>+#REF!</f>
        <v>#REF!</v>
      </c>
      <c r="D28" s="1143" t="e">
        <f>+#REF!</f>
        <v>#REF!</v>
      </c>
      <c r="E28" s="1143" t="e">
        <f>+#REF!</f>
        <v>#REF!</v>
      </c>
      <c r="F28" s="1143" t="e">
        <f>+#REF!</f>
        <v>#REF!</v>
      </c>
      <c r="G28" s="1143"/>
      <c r="H28" s="1146" t="s">
        <v>2052</v>
      </c>
      <c r="I28" s="1143">
        <v>264.10000000000002</v>
      </c>
      <c r="J28" s="1147" t="e">
        <f t="shared" si="0"/>
        <v>#REF!</v>
      </c>
    </row>
    <row r="29" spans="1:10" ht="15.75" hidden="1">
      <c r="A29" s="1145">
        <f t="shared" si="3"/>
        <v>14</v>
      </c>
      <c r="B29" s="1137" t="e">
        <f>+#REF!</f>
        <v>#REF!</v>
      </c>
      <c r="C29" s="1138" t="e">
        <f>+#REF!</f>
        <v>#REF!</v>
      </c>
      <c r="D29" s="1143" t="e">
        <f>+#REF!</f>
        <v>#REF!</v>
      </c>
      <c r="E29" s="1143" t="e">
        <f>+#REF!</f>
        <v>#REF!</v>
      </c>
      <c r="F29" s="1143" t="e">
        <f>+#REF!</f>
        <v>#REF!</v>
      </c>
      <c r="G29" s="1143"/>
      <c r="H29" s="1146" t="s">
        <v>2052</v>
      </c>
      <c r="I29" s="1143">
        <v>181</v>
      </c>
      <c r="J29" s="1147" t="e">
        <f t="shared" si="0"/>
        <v>#REF!</v>
      </c>
    </row>
    <row r="30" spans="1:10" ht="15.75" hidden="1">
      <c r="A30" s="1145">
        <f t="shared" si="3"/>
        <v>15</v>
      </c>
      <c r="B30" s="1137" t="e">
        <f>+#REF!</f>
        <v>#REF!</v>
      </c>
      <c r="C30" s="1138" t="e">
        <f>+#REF!</f>
        <v>#REF!</v>
      </c>
      <c r="D30" s="1143" t="e">
        <f>+#REF!</f>
        <v>#REF!</v>
      </c>
      <c r="E30" s="1143" t="e">
        <f>+#REF!</f>
        <v>#REF!</v>
      </c>
      <c r="F30" s="1143" t="e">
        <f>+#REF!</f>
        <v>#REF!</v>
      </c>
      <c r="G30" s="1143"/>
      <c r="H30" s="1146" t="s">
        <v>2052</v>
      </c>
      <c r="I30" s="1143">
        <v>164.2</v>
      </c>
      <c r="J30" s="1147" t="e">
        <f t="shared" si="0"/>
        <v>#REF!</v>
      </c>
    </row>
    <row r="31" spans="1:10" ht="15.75" hidden="1">
      <c r="A31" s="1145">
        <f>+MAX(A29:A30)+1</f>
        <v>16</v>
      </c>
      <c r="B31" s="1137" t="e">
        <f>+#REF!</f>
        <v>#REF!</v>
      </c>
      <c r="C31" s="1138" t="e">
        <f>+#REF!</f>
        <v>#REF!</v>
      </c>
      <c r="D31" s="1143" t="e">
        <f>+#REF!</f>
        <v>#REF!</v>
      </c>
      <c r="E31" s="1143" t="e">
        <f>+#REF!</f>
        <v>#REF!</v>
      </c>
      <c r="F31" s="1143" t="e">
        <f>+#REF!</f>
        <v>#REF!</v>
      </c>
      <c r="G31" s="1143"/>
      <c r="H31" s="1146" t="s">
        <v>2052</v>
      </c>
      <c r="I31" s="1143">
        <v>154.5</v>
      </c>
      <c r="J31" s="1147" t="e">
        <f t="shared" si="0"/>
        <v>#REF!</v>
      </c>
    </row>
    <row r="32" spans="1:10" ht="15.75" hidden="1">
      <c r="A32" s="1145">
        <f>+MAX(A31:A31)+1</f>
        <v>17</v>
      </c>
      <c r="B32" s="1137" t="e">
        <f>+#REF!</f>
        <v>#REF!</v>
      </c>
      <c r="C32" s="1138" t="e">
        <f>+#REF!</f>
        <v>#REF!</v>
      </c>
      <c r="D32" s="1143" t="e">
        <f>+#REF!</f>
        <v>#REF!</v>
      </c>
      <c r="E32" s="1143" t="e">
        <f>+#REF!</f>
        <v>#REF!</v>
      </c>
      <c r="F32" s="1143" t="e">
        <f>+#REF!</f>
        <v>#REF!</v>
      </c>
      <c r="G32" s="1143"/>
      <c r="H32" s="1146" t="s">
        <v>2052</v>
      </c>
      <c r="I32" s="1143">
        <v>173.2</v>
      </c>
      <c r="J32" s="1147" t="e">
        <f t="shared" si="0"/>
        <v>#REF!</v>
      </c>
    </row>
    <row r="33" spans="1:11" ht="15.75" hidden="1">
      <c r="A33" s="1145">
        <f>+MAX(A31:A32)+1</f>
        <v>18</v>
      </c>
      <c r="B33" s="1137" t="e">
        <f>+#REF!</f>
        <v>#REF!</v>
      </c>
      <c r="C33" s="1138" t="e">
        <f>+#REF!</f>
        <v>#REF!</v>
      </c>
      <c r="D33" s="1143" t="e">
        <f>+#REF!</f>
        <v>#REF!</v>
      </c>
      <c r="E33" s="1143" t="e">
        <f>+#REF!</f>
        <v>#REF!</v>
      </c>
      <c r="F33" s="1143" t="e">
        <f>+#REF!</f>
        <v>#REF!</v>
      </c>
      <c r="G33" s="1143"/>
      <c r="H33" s="1146" t="s">
        <v>2052</v>
      </c>
      <c r="I33" s="1143">
        <v>216.29999999999998</v>
      </c>
      <c r="J33" s="1147" t="e">
        <f t="shared" si="0"/>
        <v>#REF!</v>
      </c>
    </row>
    <row r="34" spans="1:11" ht="15.75" hidden="1">
      <c r="A34" s="1145">
        <f t="shared" si="3"/>
        <v>19</v>
      </c>
      <c r="B34" s="1137" t="e">
        <f>+#REF!</f>
        <v>#REF!</v>
      </c>
      <c r="C34" s="1138" t="e">
        <f>+#REF!</f>
        <v>#REF!</v>
      </c>
      <c r="D34" s="1143" t="e">
        <f>+#REF!</f>
        <v>#REF!</v>
      </c>
      <c r="E34" s="1143" t="e">
        <f>+#REF!</f>
        <v>#REF!</v>
      </c>
      <c r="F34" s="1143" t="e">
        <f>+#REF!</f>
        <v>#REF!</v>
      </c>
      <c r="G34" s="1143"/>
      <c r="H34" s="1146" t="s">
        <v>2052</v>
      </c>
      <c r="I34" s="1143">
        <v>168.1</v>
      </c>
      <c r="J34" s="1147" t="e">
        <f t="shared" si="0"/>
        <v>#REF!</v>
      </c>
    </row>
    <row r="35" spans="1:11" s="1152" customFormat="1" ht="15.75">
      <c r="A35" s="1150"/>
      <c r="B35" s="1137">
        <v>4</v>
      </c>
      <c r="C35" s="1138" t="e">
        <f>+#REF!</f>
        <v>#REF!</v>
      </c>
      <c r="D35" s="1143" t="e">
        <f>SUM(D36:D47)</f>
        <v>#REF!</v>
      </c>
      <c r="E35" s="1143" t="e">
        <f t="shared" ref="E35" si="4">SUM(E36:E46)</f>
        <v>#REF!</v>
      </c>
      <c r="F35" s="1143" t="e">
        <f>SUM(F36:F47)</f>
        <v>#REF!</v>
      </c>
      <c r="G35" s="1143"/>
      <c r="H35" s="1146" t="s">
        <v>1777</v>
      </c>
      <c r="I35" s="1144">
        <v>3002.2</v>
      </c>
      <c r="J35" s="1147" t="e">
        <f t="shared" si="0"/>
        <v>#REF!</v>
      </c>
    </row>
    <row r="36" spans="1:11" ht="15.75" hidden="1">
      <c r="A36" s="1145">
        <f>+MAX(A34:A35)+1</f>
        <v>20</v>
      </c>
      <c r="B36" s="1137" t="e">
        <f>+#REF!</f>
        <v>#REF!</v>
      </c>
      <c r="C36" s="1138" t="e">
        <f>+#REF!</f>
        <v>#REF!</v>
      </c>
      <c r="D36" s="1143" t="e">
        <f>+#REF!</f>
        <v>#REF!</v>
      </c>
      <c r="E36" s="1143" t="e">
        <f>+#REF!</f>
        <v>#REF!</v>
      </c>
      <c r="F36" s="1143" t="e">
        <f>+#REF!</f>
        <v>#REF!</v>
      </c>
      <c r="G36" s="1143"/>
      <c r="H36" s="1146" t="s">
        <v>2052</v>
      </c>
      <c r="I36" s="1143">
        <v>468.2000000000001</v>
      </c>
      <c r="J36" s="1147" t="e">
        <f t="shared" si="0"/>
        <v>#REF!</v>
      </c>
    </row>
    <row r="37" spans="1:11" ht="15.75" hidden="1">
      <c r="A37" s="1145">
        <f>+MAX(A35:A36)+1</f>
        <v>21</v>
      </c>
      <c r="B37" s="1137" t="e">
        <f>+#REF!</f>
        <v>#REF!</v>
      </c>
      <c r="C37" s="1138" t="e">
        <f>+#REF!</f>
        <v>#REF!</v>
      </c>
      <c r="D37" s="1143" t="e">
        <f>+#REF!</f>
        <v>#REF!</v>
      </c>
      <c r="E37" s="1143" t="e">
        <f>+#REF!</f>
        <v>#REF!</v>
      </c>
      <c r="F37" s="1143" t="e">
        <f>+#REF!</f>
        <v>#REF!</v>
      </c>
      <c r="G37" s="1143"/>
      <c r="H37" s="1146" t="s">
        <v>2052</v>
      </c>
      <c r="I37" s="1143">
        <v>195.70000000000005</v>
      </c>
      <c r="J37" s="1147" t="e">
        <f t="shared" si="0"/>
        <v>#REF!</v>
      </c>
    </row>
    <row r="38" spans="1:11" ht="15.75" hidden="1">
      <c r="A38" s="1145">
        <f t="shared" ref="A38:A46" si="5">+MAX(A35:A37)+1</f>
        <v>22</v>
      </c>
      <c r="B38" s="1137" t="e">
        <f>+#REF!</f>
        <v>#REF!</v>
      </c>
      <c r="C38" s="1138" t="e">
        <f>+#REF!</f>
        <v>#REF!</v>
      </c>
      <c r="D38" s="1143" t="e">
        <f>+#REF!</f>
        <v>#REF!</v>
      </c>
      <c r="E38" s="1143" t="e">
        <f>+#REF!</f>
        <v>#REF!</v>
      </c>
      <c r="F38" s="1143" t="e">
        <f>+#REF!</f>
        <v>#REF!</v>
      </c>
      <c r="G38" s="1143"/>
      <c r="H38" s="1146" t="s">
        <v>2052</v>
      </c>
      <c r="I38" s="1143">
        <v>418.90000000000009</v>
      </c>
      <c r="J38" s="1147" t="e">
        <f t="shared" si="0"/>
        <v>#REF!</v>
      </c>
    </row>
    <row r="39" spans="1:11" ht="15.75" hidden="1">
      <c r="A39" s="1145">
        <f t="shared" si="5"/>
        <v>23</v>
      </c>
      <c r="B39" s="1137" t="e">
        <f>+#REF!</f>
        <v>#REF!</v>
      </c>
      <c r="C39" s="1138" t="e">
        <f>+#REF!</f>
        <v>#REF!</v>
      </c>
      <c r="D39" s="1143" t="e">
        <f>+#REF!</f>
        <v>#REF!</v>
      </c>
      <c r="E39" s="1143" t="e">
        <f>+#REF!</f>
        <v>#REF!</v>
      </c>
      <c r="F39" s="1143" t="e">
        <f>+#REF!</f>
        <v>#REF!</v>
      </c>
      <c r="G39" s="1143"/>
      <c r="H39" s="1146" t="s">
        <v>2052</v>
      </c>
      <c r="I39" s="1143">
        <v>188.2</v>
      </c>
      <c r="J39" s="1147" t="e">
        <f t="shared" si="0"/>
        <v>#REF!</v>
      </c>
    </row>
    <row r="40" spans="1:11" ht="15.75" hidden="1">
      <c r="A40" s="1145">
        <f t="shared" si="5"/>
        <v>24</v>
      </c>
      <c r="B40" s="1137" t="e">
        <f>+#REF!</f>
        <v>#REF!</v>
      </c>
      <c r="C40" s="1138" t="e">
        <f>+#REF!</f>
        <v>#REF!</v>
      </c>
      <c r="D40" s="1143" t="e">
        <f>+#REF!</f>
        <v>#REF!</v>
      </c>
      <c r="E40" s="1143" t="e">
        <f>+#REF!</f>
        <v>#REF!</v>
      </c>
      <c r="F40" s="1143" t="e">
        <f>+#REF!</f>
        <v>#REF!</v>
      </c>
      <c r="G40" s="1143"/>
      <c r="H40" s="1146" t="s">
        <v>2052</v>
      </c>
      <c r="I40" s="1143">
        <v>149.39999999999998</v>
      </c>
      <c r="J40" s="1147" t="e">
        <f t="shared" si="0"/>
        <v>#REF!</v>
      </c>
    </row>
    <row r="41" spans="1:11" ht="15.75" hidden="1">
      <c r="A41" s="1145">
        <f t="shared" si="5"/>
        <v>25</v>
      </c>
      <c r="B41" s="1137" t="e">
        <f>+#REF!</f>
        <v>#REF!</v>
      </c>
      <c r="C41" s="1138" t="e">
        <f>+#REF!</f>
        <v>#REF!</v>
      </c>
      <c r="D41" s="1143" t="e">
        <f>+#REF!</f>
        <v>#REF!</v>
      </c>
      <c r="E41" s="1143" t="e">
        <f>+#REF!</f>
        <v>#REF!</v>
      </c>
      <c r="F41" s="1143" t="e">
        <f>+#REF!</f>
        <v>#REF!</v>
      </c>
      <c r="G41" s="1143"/>
      <c r="H41" s="1146" t="s">
        <v>2052</v>
      </c>
      <c r="I41" s="1143">
        <v>147</v>
      </c>
      <c r="J41" s="1147" t="e">
        <f t="shared" si="0"/>
        <v>#REF!</v>
      </c>
    </row>
    <row r="42" spans="1:11" ht="15.75" hidden="1">
      <c r="A42" s="1145">
        <f t="shared" si="5"/>
        <v>26</v>
      </c>
      <c r="B42" s="1137" t="e">
        <f>+#REF!</f>
        <v>#REF!</v>
      </c>
      <c r="C42" s="1138" t="e">
        <f>+#REF!</f>
        <v>#REF!</v>
      </c>
      <c r="D42" s="1143" t="e">
        <f>+#REF!</f>
        <v>#REF!</v>
      </c>
      <c r="E42" s="1143" t="e">
        <f>+#REF!</f>
        <v>#REF!</v>
      </c>
      <c r="F42" s="1143" t="e">
        <f>+#REF!</f>
        <v>#REF!</v>
      </c>
      <c r="G42" s="1143"/>
      <c r="H42" s="1146" t="s">
        <v>2052</v>
      </c>
      <c r="I42" s="1143">
        <v>447.4</v>
      </c>
      <c r="J42" s="1147" t="e">
        <f t="shared" si="0"/>
        <v>#REF!</v>
      </c>
    </row>
    <row r="43" spans="1:11" ht="15.75" hidden="1">
      <c r="A43" s="1145">
        <f t="shared" si="5"/>
        <v>27</v>
      </c>
      <c r="B43" s="1137" t="e">
        <f>+#REF!</f>
        <v>#REF!</v>
      </c>
      <c r="C43" s="1138" t="e">
        <f>+#REF!</f>
        <v>#REF!</v>
      </c>
      <c r="D43" s="1143" t="e">
        <f>+#REF!</f>
        <v>#REF!</v>
      </c>
      <c r="E43" s="1143" t="e">
        <f>+#REF!</f>
        <v>#REF!</v>
      </c>
      <c r="F43" s="1143" t="e">
        <f>+#REF!</f>
        <v>#REF!</v>
      </c>
      <c r="G43" s="1143"/>
      <c r="H43" s="1146" t="s">
        <v>2052</v>
      </c>
      <c r="I43" s="1143">
        <v>414</v>
      </c>
      <c r="J43" s="1147" t="e">
        <f t="shared" si="0"/>
        <v>#REF!</v>
      </c>
    </row>
    <row r="44" spans="1:11" ht="15.75" hidden="1">
      <c r="A44" s="1145">
        <f t="shared" si="5"/>
        <v>28</v>
      </c>
      <c r="B44" s="1137" t="e">
        <f>+#REF!</f>
        <v>#REF!</v>
      </c>
      <c r="C44" s="1138" t="e">
        <f>+#REF!</f>
        <v>#REF!</v>
      </c>
      <c r="D44" s="1143" t="e">
        <f>+#REF!</f>
        <v>#REF!</v>
      </c>
      <c r="E44" s="1143" t="e">
        <f>+#REF!</f>
        <v>#REF!</v>
      </c>
      <c r="F44" s="1143" t="e">
        <f>+#REF!</f>
        <v>#REF!</v>
      </c>
      <c r="G44" s="1143"/>
      <c r="H44" s="1146" t="s">
        <v>2052</v>
      </c>
      <c r="I44" s="1143">
        <v>169.2</v>
      </c>
      <c r="J44" s="1147" t="e">
        <f t="shared" si="0"/>
        <v>#REF!</v>
      </c>
    </row>
    <row r="45" spans="1:11" ht="15.75" hidden="1">
      <c r="A45" s="1145">
        <f t="shared" si="5"/>
        <v>29</v>
      </c>
      <c r="B45" s="1137" t="e">
        <f>+#REF!</f>
        <v>#REF!</v>
      </c>
      <c r="C45" s="1138" t="e">
        <f>+#REF!</f>
        <v>#REF!</v>
      </c>
      <c r="D45" s="1143" t="e">
        <f>+#REF!</f>
        <v>#REF!</v>
      </c>
      <c r="E45" s="1143" t="e">
        <f>+#REF!</f>
        <v>#REF!</v>
      </c>
      <c r="F45" s="1143" t="e">
        <f>+#REF!</f>
        <v>#REF!</v>
      </c>
      <c r="G45" s="1143"/>
      <c r="H45" s="1146" t="s">
        <v>2052</v>
      </c>
      <c r="I45" s="1143">
        <v>246.49999999999997</v>
      </c>
      <c r="J45" s="1147" t="e">
        <f t="shared" si="0"/>
        <v>#REF!</v>
      </c>
    </row>
    <row r="46" spans="1:11" ht="15.75" hidden="1">
      <c r="A46" s="1145">
        <f t="shared" si="5"/>
        <v>30</v>
      </c>
      <c r="B46" s="1137" t="e">
        <f>+#REF!</f>
        <v>#REF!</v>
      </c>
      <c r="C46" s="1138" t="e">
        <f>+#REF!</f>
        <v>#REF!</v>
      </c>
      <c r="D46" s="1143" t="e">
        <f>+#REF!</f>
        <v>#REF!</v>
      </c>
      <c r="E46" s="1143" t="e">
        <f>+#REF!</f>
        <v>#REF!</v>
      </c>
      <c r="F46" s="1143" t="e">
        <f>+#REF!</f>
        <v>#REF!</v>
      </c>
      <c r="G46" s="1143"/>
      <c r="H46" s="1146" t="s">
        <v>2052</v>
      </c>
      <c r="I46" s="1143">
        <v>157.69999999999999</v>
      </c>
      <c r="J46" s="1147" t="e">
        <f t="shared" si="0"/>
        <v>#REF!</v>
      </c>
    </row>
    <row r="47" spans="1:11" ht="15.75" hidden="1">
      <c r="A47" s="1145"/>
      <c r="B47" s="1137">
        <v>39</v>
      </c>
      <c r="C47" s="1138" t="e">
        <f>#REF!</f>
        <v>#REF!</v>
      </c>
      <c r="D47" s="1143" t="e">
        <f>+#REF!</f>
        <v>#REF!</v>
      </c>
      <c r="E47" s="1143"/>
      <c r="F47" s="1143" t="e">
        <f>+#REF!</f>
        <v>#REF!</v>
      </c>
      <c r="G47" s="1143"/>
      <c r="H47" s="1146" t="s">
        <v>2052</v>
      </c>
      <c r="I47" s="1143"/>
      <c r="J47" s="1147"/>
      <c r="K47" s="1146" t="s">
        <v>2646</v>
      </c>
    </row>
    <row r="48" spans="1:11" s="1152" customFormat="1" ht="15.75">
      <c r="A48" s="1150"/>
      <c r="B48" s="1137">
        <v>5</v>
      </c>
      <c r="C48" s="1138" t="e">
        <f>+#REF!</f>
        <v>#REF!</v>
      </c>
      <c r="D48" s="1143" t="e">
        <f>SUM(D49:D59)</f>
        <v>#REF!</v>
      </c>
      <c r="E48" s="1143" t="e">
        <f t="shared" ref="E48" si="6">SUM(E49:E57)</f>
        <v>#REF!</v>
      </c>
      <c r="F48" s="1143" t="e">
        <f>SUM(F49:F59)</f>
        <v>#REF!</v>
      </c>
      <c r="G48" s="1143"/>
      <c r="H48" s="1146" t="s">
        <v>1777</v>
      </c>
      <c r="I48" s="1144">
        <v>2061</v>
      </c>
      <c r="J48" s="1147" t="e">
        <f t="shared" si="0"/>
        <v>#REF!</v>
      </c>
    </row>
    <row r="49" spans="1:10" ht="15.75" hidden="1">
      <c r="A49" s="1145">
        <f>+MAX(A45:A48)+1</f>
        <v>31</v>
      </c>
      <c r="B49" s="1137" t="e">
        <f>+#REF!</f>
        <v>#REF!</v>
      </c>
      <c r="C49" s="1138" t="e">
        <f>+#REF!</f>
        <v>#REF!</v>
      </c>
      <c r="D49" s="1143" t="e">
        <f>+#REF!</f>
        <v>#REF!</v>
      </c>
      <c r="E49" s="1143" t="e">
        <f>+#REF!</f>
        <v>#REF!</v>
      </c>
      <c r="F49" s="1143" t="e">
        <f>+#REF!</f>
        <v>#REF!</v>
      </c>
      <c r="G49" s="1143"/>
      <c r="H49" s="1146" t="s">
        <v>2052</v>
      </c>
      <c r="I49" s="1143">
        <v>312.89999999999998</v>
      </c>
      <c r="J49" s="1147" t="e">
        <f t="shared" si="0"/>
        <v>#REF!</v>
      </c>
    </row>
    <row r="50" spans="1:10" ht="15.75" hidden="1">
      <c r="A50" s="1145">
        <f>+MAX(A46:A49)+1</f>
        <v>32</v>
      </c>
      <c r="B50" s="1137" t="e">
        <f>+#REF!</f>
        <v>#REF!</v>
      </c>
      <c r="C50" s="1138" t="e">
        <f>+#REF!</f>
        <v>#REF!</v>
      </c>
      <c r="D50" s="1143" t="e">
        <f>+#REF!</f>
        <v>#REF!</v>
      </c>
      <c r="E50" s="1143" t="e">
        <f>+#REF!</f>
        <v>#REF!</v>
      </c>
      <c r="F50" s="1143" t="e">
        <f>+#REF!</f>
        <v>#REF!</v>
      </c>
      <c r="G50" s="1143"/>
      <c r="H50" s="1146" t="s">
        <v>2052</v>
      </c>
      <c r="I50" s="1143">
        <v>135</v>
      </c>
      <c r="J50" s="1147" t="e">
        <f t="shared" si="0"/>
        <v>#REF!</v>
      </c>
    </row>
    <row r="51" spans="1:10" ht="15.75" hidden="1">
      <c r="A51" s="1145">
        <f t="shared" ref="A51:A57" si="7">+MAX(A48:A50)+1</f>
        <v>33</v>
      </c>
      <c r="B51" s="1137" t="e">
        <f>+#REF!</f>
        <v>#REF!</v>
      </c>
      <c r="C51" s="1138" t="e">
        <f>+#REF!</f>
        <v>#REF!</v>
      </c>
      <c r="D51" s="1143" t="e">
        <f>+#REF!</f>
        <v>#REF!</v>
      </c>
      <c r="E51" s="1143" t="e">
        <f>+#REF!</f>
        <v>#REF!</v>
      </c>
      <c r="F51" s="1143" t="e">
        <f>+#REF!</f>
        <v>#REF!</v>
      </c>
      <c r="G51" s="1143"/>
      <c r="H51" s="1146" t="s">
        <v>2052</v>
      </c>
      <c r="I51" s="1143">
        <v>125.5</v>
      </c>
      <c r="J51" s="1147" t="e">
        <f t="shared" si="0"/>
        <v>#REF!</v>
      </c>
    </row>
    <row r="52" spans="1:10" ht="15.75" hidden="1">
      <c r="A52" s="1145">
        <f t="shared" si="7"/>
        <v>34</v>
      </c>
      <c r="B52" s="1137" t="e">
        <f>+#REF!</f>
        <v>#REF!</v>
      </c>
      <c r="C52" s="1138" t="e">
        <f>+#REF!</f>
        <v>#REF!</v>
      </c>
      <c r="D52" s="1143" t="e">
        <f>+#REF!</f>
        <v>#REF!</v>
      </c>
      <c r="E52" s="1143" t="e">
        <f>+#REF!</f>
        <v>#REF!</v>
      </c>
      <c r="F52" s="1143" t="e">
        <f>+#REF!</f>
        <v>#REF!</v>
      </c>
      <c r="G52" s="1143"/>
      <c r="H52" s="1146" t="s">
        <v>2052</v>
      </c>
      <c r="I52" s="1143">
        <v>181</v>
      </c>
      <c r="J52" s="1147" t="e">
        <f t="shared" si="0"/>
        <v>#REF!</v>
      </c>
    </row>
    <row r="53" spans="1:10" ht="15.75" hidden="1">
      <c r="A53" s="1145">
        <f t="shared" si="7"/>
        <v>35</v>
      </c>
      <c r="B53" s="1137" t="e">
        <f>+#REF!</f>
        <v>#REF!</v>
      </c>
      <c r="C53" s="1138" t="e">
        <f>+#REF!</f>
        <v>#REF!</v>
      </c>
      <c r="D53" s="1143" t="e">
        <f>+#REF!</f>
        <v>#REF!</v>
      </c>
      <c r="E53" s="1143" t="e">
        <f>+#REF!</f>
        <v>#REF!</v>
      </c>
      <c r="F53" s="1143" t="e">
        <f>+#REF!</f>
        <v>#REF!</v>
      </c>
      <c r="G53" s="1143"/>
      <c r="H53" s="1146" t="s">
        <v>2052</v>
      </c>
      <c r="I53" s="1143">
        <v>350.59999999999991</v>
      </c>
      <c r="J53" s="1147" t="e">
        <f t="shared" si="0"/>
        <v>#REF!</v>
      </c>
    </row>
    <row r="54" spans="1:10" ht="15.75" hidden="1">
      <c r="A54" s="1145">
        <f t="shared" si="7"/>
        <v>36</v>
      </c>
      <c r="B54" s="1137" t="e">
        <f>+#REF!</f>
        <v>#REF!</v>
      </c>
      <c r="C54" s="1138" t="e">
        <f>+#REF!</f>
        <v>#REF!</v>
      </c>
      <c r="D54" s="1143" t="e">
        <f>+#REF!</f>
        <v>#REF!</v>
      </c>
      <c r="E54" s="1143" t="e">
        <f>+#REF!</f>
        <v>#REF!</v>
      </c>
      <c r="F54" s="1143" t="e">
        <f>+#REF!</f>
        <v>#REF!</v>
      </c>
      <c r="G54" s="1143"/>
      <c r="H54" s="1146" t="s">
        <v>2052</v>
      </c>
      <c r="I54" s="1143">
        <v>231.5</v>
      </c>
      <c r="J54" s="1147" t="e">
        <f t="shared" si="0"/>
        <v>#REF!</v>
      </c>
    </row>
    <row r="55" spans="1:10" ht="15.75" hidden="1">
      <c r="A55" s="1145">
        <f t="shared" si="7"/>
        <v>37</v>
      </c>
      <c r="B55" s="1137" t="e">
        <f>+#REF!</f>
        <v>#REF!</v>
      </c>
      <c r="C55" s="1138" t="e">
        <f>+#REF!</f>
        <v>#REF!</v>
      </c>
      <c r="D55" s="1143" t="e">
        <f>+#REF!</f>
        <v>#REF!</v>
      </c>
      <c r="E55" s="1143" t="e">
        <f>+#REF!</f>
        <v>#REF!</v>
      </c>
      <c r="F55" s="1143" t="e">
        <f>+#REF!</f>
        <v>#REF!</v>
      </c>
      <c r="G55" s="1143"/>
      <c r="H55" s="1146" t="s">
        <v>2052</v>
      </c>
      <c r="I55" s="1143">
        <v>407.7</v>
      </c>
      <c r="J55" s="1147" t="e">
        <f t="shared" si="0"/>
        <v>#REF!</v>
      </c>
    </row>
    <row r="56" spans="1:10" ht="15.75" hidden="1">
      <c r="A56" s="1145">
        <f t="shared" si="7"/>
        <v>38</v>
      </c>
      <c r="B56" s="1137" t="e">
        <f>+#REF!</f>
        <v>#REF!</v>
      </c>
      <c r="C56" s="1138" t="e">
        <f>+#REF!</f>
        <v>#REF!</v>
      </c>
      <c r="D56" s="1143" t="e">
        <f>+#REF!</f>
        <v>#REF!</v>
      </c>
      <c r="E56" s="1143" t="e">
        <f>+#REF!</f>
        <v>#REF!</v>
      </c>
      <c r="F56" s="1143" t="e">
        <f>+#REF!</f>
        <v>#REF!</v>
      </c>
      <c r="G56" s="1143"/>
      <c r="H56" s="1146" t="s">
        <v>2052</v>
      </c>
      <c r="I56" s="1143">
        <v>157.19999999999999</v>
      </c>
      <c r="J56" s="1147" t="e">
        <f t="shared" si="0"/>
        <v>#REF!</v>
      </c>
    </row>
    <row r="57" spans="1:10" ht="15.75" hidden="1">
      <c r="A57" s="1145">
        <f t="shared" si="7"/>
        <v>39</v>
      </c>
      <c r="B57" s="1137" t="e">
        <f>+#REF!</f>
        <v>#REF!</v>
      </c>
      <c r="C57" s="1138" t="e">
        <f>+#REF!</f>
        <v>#REF!</v>
      </c>
      <c r="D57" s="1143" t="e">
        <f>+#REF!</f>
        <v>#REF!</v>
      </c>
      <c r="E57" s="1143" t="e">
        <f>+#REF!</f>
        <v>#REF!</v>
      </c>
      <c r="F57" s="1143" t="e">
        <f>+#REF!</f>
        <v>#REF!</v>
      </c>
      <c r="G57" s="1143"/>
      <c r="H57" s="1146" t="s">
        <v>2052</v>
      </c>
      <c r="I57" s="1143">
        <v>159.6</v>
      </c>
      <c r="J57" s="1147" t="e">
        <f t="shared" si="0"/>
        <v>#REF!</v>
      </c>
    </row>
    <row r="58" spans="1:10" ht="15.75" hidden="1">
      <c r="A58" s="1145"/>
      <c r="B58" s="1137">
        <v>49</v>
      </c>
      <c r="C58" s="1138" t="e">
        <f>+#REF!</f>
        <v>#REF!</v>
      </c>
      <c r="D58" s="1143" t="e">
        <f>+#REF!</f>
        <v>#REF!</v>
      </c>
      <c r="E58" s="1143"/>
      <c r="F58" s="1143" t="e">
        <f>+#REF!</f>
        <v>#REF!</v>
      </c>
      <c r="G58" s="1143"/>
      <c r="H58" s="1146" t="s">
        <v>2052</v>
      </c>
      <c r="I58" s="1143"/>
      <c r="J58" s="1147"/>
    </row>
    <row r="59" spans="1:10" ht="15.75" hidden="1">
      <c r="A59" s="1145"/>
      <c r="B59" s="1137">
        <v>50</v>
      </c>
      <c r="C59" s="1138" t="e">
        <f>+#REF!</f>
        <v>#REF!</v>
      </c>
      <c r="D59" s="1143" t="e">
        <f>+#REF!</f>
        <v>#REF!</v>
      </c>
      <c r="E59" s="1143"/>
      <c r="F59" s="1143" t="e">
        <f>+#REF!</f>
        <v>#REF!</v>
      </c>
      <c r="G59" s="1143"/>
      <c r="H59" s="1146" t="s">
        <v>2052</v>
      </c>
      <c r="I59" s="1143"/>
      <c r="J59" s="1147"/>
    </row>
    <row r="60" spans="1:10" s="1152" customFormat="1" ht="15.75">
      <c r="A60" s="1150"/>
      <c r="B60" s="1137">
        <v>6</v>
      </c>
      <c r="C60" s="1138" t="e">
        <f>+#REF!</f>
        <v>#REF!</v>
      </c>
      <c r="D60" s="1143" t="e">
        <f>SUM(D61:D71)</f>
        <v>#REF!</v>
      </c>
      <c r="E60" s="1143" t="e">
        <f t="shared" ref="E60" si="8">SUM(E61:E70)</f>
        <v>#REF!</v>
      </c>
      <c r="F60" s="1143" t="e">
        <f>SUM(F61:F71)</f>
        <v>#REF!</v>
      </c>
      <c r="G60" s="1143"/>
      <c r="H60" s="1146" t="s">
        <v>1777</v>
      </c>
      <c r="I60" s="1144">
        <v>836.80000000000007</v>
      </c>
      <c r="J60" s="1147" t="e">
        <f t="shared" si="0"/>
        <v>#REF!</v>
      </c>
    </row>
    <row r="61" spans="1:10" ht="15.75" hidden="1">
      <c r="A61" s="1145">
        <f>+MAX(A56:A60)+1</f>
        <v>40</v>
      </c>
      <c r="B61" s="1137" t="e">
        <f>+#REF!</f>
        <v>#REF!</v>
      </c>
      <c r="C61" s="1138" t="e">
        <f>+#REF!</f>
        <v>#REF!</v>
      </c>
      <c r="D61" s="1143" t="e">
        <f>+#REF!</f>
        <v>#REF!</v>
      </c>
      <c r="E61" s="1143" t="e">
        <f>+#REF!</f>
        <v>#REF!</v>
      </c>
      <c r="F61" s="1143" t="e">
        <f>+#REF!</f>
        <v>#REF!</v>
      </c>
      <c r="G61" s="1143"/>
      <c r="H61" s="1146" t="s">
        <v>2052</v>
      </c>
      <c r="I61" s="1143">
        <v>40</v>
      </c>
      <c r="J61" s="1147" t="e">
        <f t="shared" si="0"/>
        <v>#REF!</v>
      </c>
    </row>
    <row r="62" spans="1:10" ht="15.75" hidden="1">
      <c r="A62" s="1145">
        <f>+MAX(A57:A61)+1</f>
        <v>41</v>
      </c>
      <c r="B62" s="1137" t="e">
        <f>+#REF!</f>
        <v>#REF!</v>
      </c>
      <c r="C62" s="1138" t="e">
        <f>+#REF!</f>
        <v>#REF!</v>
      </c>
      <c r="D62" s="1143" t="e">
        <f>+#REF!</f>
        <v>#REF!</v>
      </c>
      <c r="E62" s="1143" t="e">
        <f>+#REF!</f>
        <v>#REF!</v>
      </c>
      <c r="F62" s="1143" t="e">
        <f>+#REF!</f>
        <v>#REF!</v>
      </c>
      <c r="G62" s="1143"/>
      <c r="H62" s="1146" t="s">
        <v>2052</v>
      </c>
      <c r="I62" s="1143">
        <v>276.8</v>
      </c>
      <c r="J62" s="1147" t="e">
        <f t="shared" si="0"/>
        <v>#REF!</v>
      </c>
    </row>
    <row r="63" spans="1:10" ht="15.75" hidden="1">
      <c r="A63" s="1145">
        <f t="shared" ref="A63:A70" si="9">+MAX(A60:A62)+1</f>
        <v>42</v>
      </c>
      <c r="B63" s="1137" t="e">
        <f>+#REF!</f>
        <v>#REF!</v>
      </c>
      <c r="C63" s="1138" t="e">
        <f>+#REF!</f>
        <v>#REF!</v>
      </c>
      <c r="D63" s="1143" t="e">
        <f>+#REF!</f>
        <v>#REF!</v>
      </c>
      <c r="E63" s="1143" t="e">
        <f>+#REF!</f>
        <v>#REF!</v>
      </c>
      <c r="F63" s="1143" t="e">
        <f>+#REF!</f>
        <v>#REF!</v>
      </c>
      <c r="G63" s="1143"/>
      <c r="H63" s="1146" t="s">
        <v>2052</v>
      </c>
      <c r="I63" s="1143">
        <v>45.1</v>
      </c>
      <c r="J63" s="1147" t="e">
        <f t="shared" si="0"/>
        <v>#REF!</v>
      </c>
    </row>
    <row r="64" spans="1:10" ht="15.75" hidden="1">
      <c r="A64" s="1145">
        <f t="shared" si="9"/>
        <v>43</v>
      </c>
      <c r="B64" s="1137" t="e">
        <f>+#REF!</f>
        <v>#REF!</v>
      </c>
      <c r="C64" s="1138" t="e">
        <f>+#REF!</f>
        <v>#REF!</v>
      </c>
      <c r="D64" s="1143" t="e">
        <f>+#REF!</f>
        <v>#REF!</v>
      </c>
      <c r="E64" s="1143" t="e">
        <f>+#REF!</f>
        <v>#REF!</v>
      </c>
      <c r="F64" s="1143" t="e">
        <f>+#REF!</f>
        <v>#REF!</v>
      </c>
      <c r="G64" s="1143"/>
      <c r="H64" s="1146" t="s">
        <v>2052</v>
      </c>
      <c r="I64" s="1143">
        <v>44</v>
      </c>
      <c r="J64" s="1147" t="e">
        <f t="shared" si="0"/>
        <v>#REF!</v>
      </c>
    </row>
    <row r="65" spans="1:10" ht="15.75" hidden="1">
      <c r="A65" s="1145">
        <f t="shared" si="9"/>
        <v>44</v>
      </c>
      <c r="B65" s="1137" t="e">
        <f>+#REF!</f>
        <v>#REF!</v>
      </c>
      <c r="C65" s="1138" t="e">
        <f>+#REF!</f>
        <v>#REF!</v>
      </c>
      <c r="D65" s="1143" t="e">
        <f>+#REF!</f>
        <v>#REF!</v>
      </c>
      <c r="E65" s="1143" t="e">
        <f>+#REF!</f>
        <v>#REF!</v>
      </c>
      <c r="F65" s="1143" t="e">
        <f>+#REF!</f>
        <v>#REF!</v>
      </c>
      <c r="G65" s="1143"/>
      <c r="H65" s="1146" t="s">
        <v>2052</v>
      </c>
      <c r="I65" s="1143">
        <v>100.4</v>
      </c>
      <c r="J65" s="1147" t="e">
        <f t="shared" si="0"/>
        <v>#REF!</v>
      </c>
    </row>
    <row r="66" spans="1:10" ht="15.75" hidden="1">
      <c r="A66" s="1145">
        <f t="shared" si="9"/>
        <v>45</v>
      </c>
      <c r="B66" s="1137" t="e">
        <f>+#REF!</f>
        <v>#REF!</v>
      </c>
      <c r="C66" s="1138" t="e">
        <f>+#REF!</f>
        <v>#REF!</v>
      </c>
      <c r="D66" s="1143" t="e">
        <f>+#REF!</f>
        <v>#REF!</v>
      </c>
      <c r="E66" s="1143" t="e">
        <f>+#REF!</f>
        <v>#REF!</v>
      </c>
      <c r="F66" s="1143" t="e">
        <f>+#REF!</f>
        <v>#REF!</v>
      </c>
      <c r="G66" s="1143"/>
      <c r="H66" s="1146" t="s">
        <v>2052</v>
      </c>
      <c r="I66" s="1143">
        <v>38.199999999999996</v>
      </c>
      <c r="J66" s="1147" t="e">
        <f t="shared" si="0"/>
        <v>#REF!</v>
      </c>
    </row>
    <row r="67" spans="1:10" ht="15.75" hidden="1">
      <c r="A67" s="1145">
        <f t="shared" si="9"/>
        <v>46</v>
      </c>
      <c r="B67" s="1137" t="e">
        <f>+#REF!</f>
        <v>#REF!</v>
      </c>
      <c r="C67" s="1138" t="e">
        <f>+#REF!</f>
        <v>#REF!</v>
      </c>
      <c r="D67" s="1143" t="e">
        <f>+#REF!</f>
        <v>#REF!</v>
      </c>
      <c r="E67" s="1143" t="e">
        <f>+#REF!</f>
        <v>#REF!</v>
      </c>
      <c r="F67" s="1143" t="e">
        <f>+#REF!</f>
        <v>#REF!</v>
      </c>
      <c r="G67" s="1143"/>
      <c r="H67" s="1146" t="s">
        <v>2052</v>
      </c>
      <c r="I67" s="1143">
        <v>36</v>
      </c>
      <c r="J67" s="1147" t="e">
        <f t="shared" si="0"/>
        <v>#REF!</v>
      </c>
    </row>
    <row r="68" spans="1:10" ht="15.75" hidden="1">
      <c r="A68" s="1145">
        <f t="shared" si="9"/>
        <v>47</v>
      </c>
      <c r="B68" s="1137" t="e">
        <f>+#REF!</f>
        <v>#REF!</v>
      </c>
      <c r="C68" s="1138" t="e">
        <f>+#REF!</f>
        <v>#REF!</v>
      </c>
      <c r="D68" s="1143" t="e">
        <f>+#REF!</f>
        <v>#REF!</v>
      </c>
      <c r="E68" s="1143" t="e">
        <f>+#REF!</f>
        <v>#REF!</v>
      </c>
      <c r="F68" s="1143" t="e">
        <f>+#REF!</f>
        <v>#REF!</v>
      </c>
      <c r="G68" s="1143"/>
      <c r="H68" s="1146" t="s">
        <v>2052</v>
      </c>
      <c r="I68" s="1143">
        <v>114.39999999999999</v>
      </c>
      <c r="J68" s="1147" t="e">
        <f t="shared" si="0"/>
        <v>#REF!</v>
      </c>
    </row>
    <row r="69" spans="1:10" ht="15.75" hidden="1">
      <c r="A69" s="1145">
        <f t="shared" si="9"/>
        <v>48</v>
      </c>
      <c r="B69" s="1137" t="e">
        <f>+#REF!</f>
        <v>#REF!</v>
      </c>
      <c r="C69" s="1138" t="e">
        <f>+#REF!</f>
        <v>#REF!</v>
      </c>
      <c r="D69" s="1143" t="e">
        <f>+#REF!</f>
        <v>#REF!</v>
      </c>
      <c r="E69" s="1143" t="e">
        <f>+#REF!</f>
        <v>#REF!</v>
      </c>
      <c r="F69" s="1143" t="e">
        <f>+#REF!</f>
        <v>#REF!</v>
      </c>
      <c r="G69" s="1143"/>
      <c r="H69" s="1146" t="s">
        <v>2052</v>
      </c>
      <c r="I69" s="1143">
        <v>110.89999999999998</v>
      </c>
      <c r="J69" s="1147" t="e">
        <f t="shared" si="0"/>
        <v>#REF!</v>
      </c>
    </row>
    <row r="70" spans="1:10" ht="15.75" hidden="1">
      <c r="A70" s="1145">
        <f t="shared" si="9"/>
        <v>49</v>
      </c>
      <c r="B70" s="1137" t="e">
        <f>+#REF!</f>
        <v>#REF!</v>
      </c>
      <c r="C70" s="1138" t="e">
        <f>+#REF!</f>
        <v>#REF!</v>
      </c>
      <c r="D70" s="1143" t="e">
        <f>+#REF!</f>
        <v>#REF!</v>
      </c>
      <c r="E70" s="1143" t="e">
        <f>+#REF!</f>
        <v>#REF!</v>
      </c>
      <c r="F70" s="1143" t="e">
        <f>+#REF!</f>
        <v>#REF!</v>
      </c>
      <c r="G70" s="1143"/>
      <c r="H70" s="1146" t="s">
        <v>2052</v>
      </c>
      <c r="I70" s="1143">
        <v>31</v>
      </c>
      <c r="J70" s="1147" t="e">
        <f t="shared" si="0"/>
        <v>#REF!</v>
      </c>
    </row>
    <row r="71" spans="1:10" ht="15.75" hidden="1">
      <c r="A71" s="1145"/>
      <c r="B71" s="1137">
        <v>61</v>
      </c>
      <c r="C71" s="1153" t="s">
        <v>2141</v>
      </c>
      <c r="D71" s="1143" t="e">
        <f>+#REF!</f>
        <v>#REF!</v>
      </c>
      <c r="E71" s="1143"/>
      <c r="F71" s="1143" t="e">
        <f>+#REF!</f>
        <v>#REF!</v>
      </c>
      <c r="G71" s="1143"/>
      <c r="H71" s="1146" t="s">
        <v>2052</v>
      </c>
      <c r="I71" s="1143"/>
      <c r="J71" s="1147"/>
    </row>
    <row r="72" spans="1:10" s="1152" customFormat="1" ht="15.75">
      <c r="A72" s="1150"/>
      <c r="B72" s="1137">
        <v>7</v>
      </c>
      <c r="C72" s="1138" t="e">
        <f>+#REF!</f>
        <v>#REF!</v>
      </c>
      <c r="D72" s="1143" t="e">
        <f>SUM(D73:D85)</f>
        <v>#REF!</v>
      </c>
      <c r="E72" s="1143" t="e">
        <f t="shared" ref="E72" si="10">SUM(E73:E84)</f>
        <v>#REF!</v>
      </c>
      <c r="F72" s="1143" t="e">
        <f>SUM(F73:F85)</f>
        <v>#REF!</v>
      </c>
      <c r="G72" s="1143"/>
      <c r="H72" s="1146" t="s">
        <v>1777</v>
      </c>
      <c r="I72" s="1144">
        <v>1026.6000000000001</v>
      </c>
      <c r="J72" s="1147" t="e">
        <f t="shared" ref="J72:J132" si="11">+F72-I72</f>
        <v>#REF!</v>
      </c>
    </row>
    <row r="73" spans="1:10" ht="15.75" hidden="1">
      <c r="A73" s="1145">
        <f>+MAX(A69:A72)+1</f>
        <v>50</v>
      </c>
      <c r="B73" s="1137" t="e">
        <f>+#REF!</f>
        <v>#REF!</v>
      </c>
      <c r="C73" s="1138" t="e">
        <f>+#REF!</f>
        <v>#REF!</v>
      </c>
      <c r="D73" s="1143" t="e">
        <f>+#REF!</f>
        <v>#REF!</v>
      </c>
      <c r="E73" s="1143" t="e">
        <f>+#REF!</f>
        <v>#REF!</v>
      </c>
      <c r="F73" s="1143" t="e">
        <f>+#REF!</f>
        <v>#REF!</v>
      </c>
      <c r="G73" s="1143"/>
      <c r="H73" s="1146" t="s">
        <v>2052</v>
      </c>
      <c r="I73" s="1143">
        <v>55</v>
      </c>
      <c r="J73" s="1147" t="e">
        <f t="shared" si="11"/>
        <v>#REF!</v>
      </c>
    </row>
    <row r="74" spans="1:10" ht="15.75" hidden="1">
      <c r="A74" s="1145">
        <f>+MAX(A70:A73)+1</f>
        <v>51</v>
      </c>
      <c r="B74" s="1137" t="e">
        <f>+#REF!</f>
        <v>#REF!</v>
      </c>
      <c r="C74" s="1138" t="e">
        <f>+#REF!</f>
        <v>#REF!</v>
      </c>
      <c r="D74" s="1143" t="e">
        <f>+#REF!</f>
        <v>#REF!</v>
      </c>
      <c r="E74" s="1143" t="e">
        <f>+#REF!</f>
        <v>#REF!</v>
      </c>
      <c r="F74" s="1143" t="e">
        <f>+#REF!</f>
        <v>#REF!</v>
      </c>
      <c r="G74" s="1143"/>
      <c r="H74" s="1146" t="s">
        <v>2052</v>
      </c>
      <c r="I74" s="1143">
        <v>82.800000000000011</v>
      </c>
      <c r="J74" s="1147" t="e">
        <f t="shared" si="11"/>
        <v>#REF!</v>
      </c>
    </row>
    <row r="75" spans="1:10" ht="15.75" hidden="1">
      <c r="A75" s="1145">
        <f t="shared" ref="A75:A84" si="12">+MAX(A72:A74)+1</f>
        <v>52</v>
      </c>
      <c r="B75" s="1137" t="e">
        <f>+#REF!</f>
        <v>#REF!</v>
      </c>
      <c r="C75" s="1138" t="e">
        <f>+#REF!</f>
        <v>#REF!</v>
      </c>
      <c r="D75" s="1143" t="e">
        <f>+#REF!</f>
        <v>#REF!</v>
      </c>
      <c r="E75" s="1143" t="e">
        <f>+#REF!</f>
        <v>#REF!</v>
      </c>
      <c r="F75" s="1143" t="e">
        <f>+#REF!</f>
        <v>#REF!</v>
      </c>
      <c r="G75" s="1143"/>
      <c r="H75" s="1146" t="s">
        <v>2052</v>
      </c>
      <c r="I75" s="1143">
        <v>193.5</v>
      </c>
      <c r="J75" s="1147" t="e">
        <f t="shared" si="11"/>
        <v>#REF!</v>
      </c>
    </row>
    <row r="76" spans="1:10" ht="15.75" hidden="1">
      <c r="A76" s="1145">
        <f t="shared" si="12"/>
        <v>53</v>
      </c>
      <c r="B76" s="1137" t="e">
        <f>+#REF!</f>
        <v>#REF!</v>
      </c>
      <c r="C76" s="1138" t="e">
        <f>+#REF!</f>
        <v>#REF!</v>
      </c>
      <c r="D76" s="1143" t="e">
        <f>+#REF!</f>
        <v>#REF!</v>
      </c>
      <c r="E76" s="1143" t="e">
        <f>+#REF!</f>
        <v>#REF!</v>
      </c>
      <c r="F76" s="1143" t="e">
        <f>+#REF!</f>
        <v>#REF!</v>
      </c>
      <c r="G76" s="1143"/>
      <c r="H76" s="1146" t="s">
        <v>2052</v>
      </c>
      <c r="I76" s="1143">
        <v>15.7</v>
      </c>
      <c r="J76" s="1147" t="e">
        <f t="shared" si="11"/>
        <v>#REF!</v>
      </c>
    </row>
    <row r="77" spans="1:10" ht="15.75" hidden="1">
      <c r="A77" s="1145">
        <f t="shared" si="12"/>
        <v>54</v>
      </c>
      <c r="B77" s="1137" t="e">
        <f>+#REF!</f>
        <v>#REF!</v>
      </c>
      <c r="C77" s="1138" t="e">
        <f>+#REF!</f>
        <v>#REF!</v>
      </c>
      <c r="D77" s="1143" t="e">
        <f>+#REF!</f>
        <v>#REF!</v>
      </c>
      <c r="E77" s="1143" t="e">
        <f>+#REF!</f>
        <v>#REF!</v>
      </c>
      <c r="F77" s="1143" t="e">
        <f>+#REF!</f>
        <v>#REF!</v>
      </c>
      <c r="G77" s="1143"/>
      <c r="H77" s="1146" t="s">
        <v>2052</v>
      </c>
      <c r="I77" s="1143">
        <v>102.1</v>
      </c>
      <c r="J77" s="1147" t="e">
        <f t="shared" si="11"/>
        <v>#REF!</v>
      </c>
    </row>
    <row r="78" spans="1:10" ht="15.75" hidden="1">
      <c r="A78" s="1145">
        <f t="shared" si="12"/>
        <v>55</v>
      </c>
      <c r="B78" s="1137" t="e">
        <f>+#REF!</f>
        <v>#REF!</v>
      </c>
      <c r="C78" s="1138" t="e">
        <f>+#REF!</f>
        <v>#REF!</v>
      </c>
      <c r="D78" s="1143" t="e">
        <f>+#REF!</f>
        <v>#REF!</v>
      </c>
      <c r="E78" s="1143" t="e">
        <f>+#REF!</f>
        <v>#REF!</v>
      </c>
      <c r="F78" s="1143" t="e">
        <f>+#REF!</f>
        <v>#REF!</v>
      </c>
      <c r="G78" s="1143"/>
      <c r="H78" s="1146" t="s">
        <v>2052</v>
      </c>
      <c r="I78" s="1143">
        <v>23.6</v>
      </c>
      <c r="J78" s="1147" t="e">
        <f t="shared" si="11"/>
        <v>#REF!</v>
      </c>
    </row>
    <row r="79" spans="1:10" ht="15.75" hidden="1">
      <c r="A79" s="1145">
        <f t="shared" si="12"/>
        <v>56</v>
      </c>
      <c r="B79" s="1137" t="e">
        <f>+#REF!</f>
        <v>#REF!</v>
      </c>
      <c r="C79" s="1138" t="e">
        <f>+#REF!</f>
        <v>#REF!</v>
      </c>
      <c r="D79" s="1143" t="e">
        <f>+#REF!</f>
        <v>#REF!</v>
      </c>
      <c r="E79" s="1143" t="e">
        <f>+#REF!</f>
        <v>#REF!</v>
      </c>
      <c r="F79" s="1143" t="e">
        <f>+#REF!</f>
        <v>#REF!</v>
      </c>
      <c r="G79" s="1143"/>
      <c r="H79" s="1146" t="s">
        <v>2052</v>
      </c>
      <c r="I79" s="1143">
        <v>83.9</v>
      </c>
      <c r="J79" s="1147" t="e">
        <f t="shared" si="11"/>
        <v>#REF!</v>
      </c>
    </row>
    <row r="80" spans="1:10" ht="15.75" hidden="1">
      <c r="A80" s="1145">
        <f t="shared" si="12"/>
        <v>57</v>
      </c>
      <c r="B80" s="1137" t="e">
        <f>+#REF!</f>
        <v>#REF!</v>
      </c>
      <c r="C80" s="1138" t="e">
        <f>+#REF!</f>
        <v>#REF!</v>
      </c>
      <c r="D80" s="1143" t="e">
        <f>+#REF!</f>
        <v>#REF!</v>
      </c>
      <c r="E80" s="1143" t="e">
        <f>+#REF!</f>
        <v>#REF!</v>
      </c>
      <c r="F80" s="1143" t="e">
        <f>+#REF!</f>
        <v>#REF!</v>
      </c>
      <c r="G80" s="1143"/>
      <c r="H80" s="1146" t="s">
        <v>2052</v>
      </c>
      <c r="I80" s="1143">
        <v>57.5</v>
      </c>
      <c r="J80" s="1147" t="e">
        <f t="shared" si="11"/>
        <v>#REF!</v>
      </c>
    </row>
    <row r="81" spans="1:10" ht="15.75" hidden="1">
      <c r="A81" s="1145">
        <f t="shared" si="12"/>
        <v>58</v>
      </c>
      <c r="B81" s="1137" t="e">
        <f>+#REF!</f>
        <v>#REF!</v>
      </c>
      <c r="C81" s="1138" t="e">
        <f>+#REF!</f>
        <v>#REF!</v>
      </c>
      <c r="D81" s="1143" t="e">
        <f>+#REF!</f>
        <v>#REF!</v>
      </c>
      <c r="E81" s="1143" t="e">
        <f>+#REF!</f>
        <v>#REF!</v>
      </c>
      <c r="F81" s="1143" t="e">
        <f>+#REF!</f>
        <v>#REF!</v>
      </c>
      <c r="G81" s="1143"/>
      <c r="H81" s="1146" t="s">
        <v>2052</v>
      </c>
      <c r="I81" s="1143">
        <v>127.9</v>
      </c>
      <c r="J81" s="1147" t="e">
        <f t="shared" si="11"/>
        <v>#REF!</v>
      </c>
    </row>
    <row r="82" spans="1:10" ht="15.75" hidden="1">
      <c r="A82" s="1145">
        <f t="shared" si="12"/>
        <v>59</v>
      </c>
      <c r="B82" s="1137" t="e">
        <f>+#REF!</f>
        <v>#REF!</v>
      </c>
      <c r="C82" s="1138" t="e">
        <f>+#REF!</f>
        <v>#REF!</v>
      </c>
      <c r="D82" s="1143" t="e">
        <f>+#REF!</f>
        <v>#REF!</v>
      </c>
      <c r="E82" s="1143" t="e">
        <f>+#REF!</f>
        <v>#REF!</v>
      </c>
      <c r="F82" s="1143" t="e">
        <f>+#REF!</f>
        <v>#REF!</v>
      </c>
      <c r="G82" s="1143"/>
      <c r="H82" s="1146" t="s">
        <v>2052</v>
      </c>
      <c r="I82" s="1143">
        <v>121</v>
      </c>
      <c r="J82" s="1147" t="e">
        <f t="shared" si="11"/>
        <v>#REF!</v>
      </c>
    </row>
    <row r="83" spans="1:10" ht="15.75" hidden="1">
      <c r="A83" s="1145">
        <f t="shared" si="12"/>
        <v>60</v>
      </c>
      <c r="B83" s="1137" t="e">
        <f>+#REF!</f>
        <v>#REF!</v>
      </c>
      <c r="C83" s="1138" t="e">
        <f>+#REF!</f>
        <v>#REF!</v>
      </c>
      <c r="D83" s="1143" t="e">
        <f>+#REF!</f>
        <v>#REF!</v>
      </c>
      <c r="E83" s="1143" t="e">
        <f>+#REF!</f>
        <v>#REF!</v>
      </c>
      <c r="F83" s="1143" t="e">
        <f>+#REF!</f>
        <v>#REF!</v>
      </c>
      <c r="G83" s="1143"/>
      <c r="H83" s="1146" t="s">
        <v>2052</v>
      </c>
      <c r="I83" s="1143">
        <v>58.199999999999996</v>
      </c>
      <c r="J83" s="1147" t="e">
        <f t="shared" si="11"/>
        <v>#REF!</v>
      </c>
    </row>
    <row r="84" spans="1:10" ht="15.75" hidden="1">
      <c r="A84" s="1145">
        <f t="shared" si="12"/>
        <v>61</v>
      </c>
      <c r="B84" s="1137" t="e">
        <f>+#REF!</f>
        <v>#REF!</v>
      </c>
      <c r="C84" s="1138" t="e">
        <f>+#REF!</f>
        <v>#REF!</v>
      </c>
      <c r="D84" s="1143" t="e">
        <f>+#REF!</f>
        <v>#REF!</v>
      </c>
      <c r="E84" s="1143" t="e">
        <f>+#REF!</f>
        <v>#REF!</v>
      </c>
      <c r="F84" s="1143" t="e">
        <f>+#REF!</f>
        <v>#REF!</v>
      </c>
      <c r="G84" s="1143"/>
      <c r="H84" s="1146" t="s">
        <v>2052</v>
      </c>
      <c r="I84" s="1143">
        <v>105.4</v>
      </c>
      <c r="J84" s="1147" t="e">
        <f t="shared" si="11"/>
        <v>#REF!</v>
      </c>
    </row>
    <row r="85" spans="1:10" ht="15.75" hidden="1">
      <c r="A85" s="1145"/>
      <c r="B85" s="1154" t="e">
        <f>+#REF!</f>
        <v>#REF!</v>
      </c>
      <c r="C85" s="1153" t="e">
        <f>+#REF!</f>
        <v>#REF!</v>
      </c>
      <c r="D85" s="1143" t="e">
        <f>+#REF!</f>
        <v>#REF!</v>
      </c>
      <c r="E85" s="1143"/>
      <c r="F85" s="1143" t="e">
        <f>+#REF!</f>
        <v>#REF!</v>
      </c>
      <c r="G85" s="1143"/>
      <c r="H85" s="1146" t="s">
        <v>2052</v>
      </c>
      <c r="I85" s="1143"/>
      <c r="J85" s="1147"/>
    </row>
    <row r="86" spans="1:10" s="1152" customFormat="1" ht="15.75">
      <c r="A86" s="1150"/>
      <c r="B86" s="1137">
        <v>8</v>
      </c>
      <c r="C86" s="1138" t="e">
        <f>+#REF!</f>
        <v>#REF!</v>
      </c>
      <c r="D86" s="1143" t="e">
        <f>SUM(D87:D90)</f>
        <v>#REF!</v>
      </c>
      <c r="E86" s="1143" t="e">
        <f>SUM(E87:E90)</f>
        <v>#REF!</v>
      </c>
      <c r="F86" s="1143" t="e">
        <f>SUM(F87:F90)</f>
        <v>#REF!</v>
      </c>
      <c r="G86" s="1143"/>
      <c r="H86" s="1146" t="s">
        <v>1777</v>
      </c>
      <c r="I86" s="1144">
        <v>278</v>
      </c>
      <c r="J86" s="1147" t="e">
        <f t="shared" si="11"/>
        <v>#REF!</v>
      </c>
    </row>
    <row r="87" spans="1:10" ht="15.75" hidden="1">
      <c r="A87" s="1145">
        <f>+MAX(A83:A86)+1</f>
        <v>62</v>
      </c>
      <c r="B87" s="1137" t="e">
        <f>+#REF!</f>
        <v>#REF!</v>
      </c>
      <c r="C87" s="1138" t="e">
        <f>+#REF!</f>
        <v>#REF!</v>
      </c>
      <c r="D87" s="1143" t="e">
        <f>+#REF!</f>
        <v>#REF!</v>
      </c>
      <c r="E87" s="1143" t="e">
        <f>+#REF!</f>
        <v>#REF!</v>
      </c>
      <c r="F87" s="1143" t="e">
        <f>+#REF!</f>
        <v>#REF!</v>
      </c>
      <c r="G87" s="1143"/>
      <c r="H87" s="1146" t="s">
        <v>2052</v>
      </c>
      <c r="I87" s="1143">
        <v>27.2</v>
      </c>
      <c r="J87" s="1147" t="e">
        <f t="shared" si="11"/>
        <v>#REF!</v>
      </c>
    </row>
    <row r="88" spans="1:10" ht="15.75" hidden="1">
      <c r="A88" s="1145">
        <f>+MAX(A84:A87)+1</f>
        <v>63</v>
      </c>
      <c r="B88" s="1137" t="e">
        <f>+#REF!</f>
        <v>#REF!</v>
      </c>
      <c r="C88" s="1138" t="e">
        <f>+#REF!</f>
        <v>#REF!</v>
      </c>
      <c r="D88" s="1143" t="e">
        <f>+#REF!</f>
        <v>#REF!</v>
      </c>
      <c r="E88" s="1143" t="e">
        <f>+#REF!</f>
        <v>#REF!</v>
      </c>
      <c r="F88" s="1143" t="e">
        <f>+#REF!</f>
        <v>#REF!</v>
      </c>
      <c r="G88" s="1143"/>
      <c r="H88" s="1146" t="s">
        <v>2052</v>
      </c>
      <c r="I88" s="1143">
        <v>40</v>
      </c>
      <c r="J88" s="1147" t="e">
        <f t="shared" si="11"/>
        <v>#REF!</v>
      </c>
    </row>
    <row r="89" spans="1:10" ht="15.75" hidden="1">
      <c r="A89" s="1145">
        <f t="shared" ref="A89" si="13">+MAX(A86:A88)+1</f>
        <v>64</v>
      </c>
      <c r="B89" s="1137" t="e">
        <f>+#REF!</f>
        <v>#REF!</v>
      </c>
      <c r="C89" s="1138" t="e">
        <f>+#REF!</f>
        <v>#REF!</v>
      </c>
      <c r="D89" s="1143" t="e">
        <f>+#REF!</f>
        <v>#REF!</v>
      </c>
      <c r="E89" s="1143" t="e">
        <f>+#REF!</f>
        <v>#REF!</v>
      </c>
      <c r="F89" s="1143" t="e">
        <f>+#REF!</f>
        <v>#REF!</v>
      </c>
      <c r="G89" s="1143"/>
      <c r="H89" s="1146" t="s">
        <v>2052</v>
      </c>
      <c r="I89" s="1143">
        <v>32</v>
      </c>
      <c r="J89" s="1147" t="e">
        <f t="shared" si="11"/>
        <v>#REF!</v>
      </c>
    </row>
    <row r="90" spans="1:10" ht="15.75" hidden="1">
      <c r="A90" s="1145" t="e">
        <f>+MAX(#REF!)+1</f>
        <v>#REF!</v>
      </c>
      <c r="B90" s="1137" t="e">
        <f>+#REF!</f>
        <v>#REF!</v>
      </c>
      <c r="C90" s="1138" t="e">
        <f>+#REF!</f>
        <v>#REF!</v>
      </c>
      <c r="D90" s="1143" t="e">
        <f>+#REF!</f>
        <v>#REF!</v>
      </c>
      <c r="E90" s="1143" t="e">
        <f>+#REF!</f>
        <v>#REF!</v>
      </c>
      <c r="F90" s="1143" t="e">
        <f>+#REF!</f>
        <v>#REF!</v>
      </c>
      <c r="G90" s="1143"/>
      <c r="H90" s="1146" t="s">
        <v>2052</v>
      </c>
      <c r="I90" s="1143">
        <v>43.6</v>
      </c>
      <c r="J90" s="1147" t="e">
        <f t="shared" si="11"/>
        <v>#REF!</v>
      </c>
    </row>
    <row r="91" spans="1:10" s="1152" customFormat="1" ht="15.75">
      <c r="A91" s="1150"/>
      <c r="B91" s="1137">
        <v>9</v>
      </c>
      <c r="C91" s="1138" t="e">
        <f>+#REF!</f>
        <v>#REF!</v>
      </c>
      <c r="D91" s="1143" t="e">
        <f>SUM(D92:D94)</f>
        <v>#REF!</v>
      </c>
      <c r="E91" s="1143" t="e">
        <f>SUM(E92:E94)</f>
        <v>#REF!</v>
      </c>
      <c r="F91" s="1143" t="e">
        <f>SUM(F92:F94)</f>
        <v>#REF!</v>
      </c>
      <c r="G91" s="1143"/>
      <c r="H91" s="1146" t="s">
        <v>1777</v>
      </c>
      <c r="I91" s="1144">
        <v>125.69999999999999</v>
      </c>
      <c r="J91" s="1147" t="e">
        <f t="shared" si="11"/>
        <v>#REF!</v>
      </c>
    </row>
    <row r="92" spans="1:10" ht="15.75" hidden="1">
      <c r="A92" s="1145" t="e">
        <f>+MAX(A90:A91)+1</f>
        <v>#REF!</v>
      </c>
      <c r="B92" s="1137" t="e">
        <f>+#REF!</f>
        <v>#REF!</v>
      </c>
      <c r="C92" s="1138" t="e">
        <f>+#REF!</f>
        <v>#REF!</v>
      </c>
      <c r="D92" s="1143" t="e">
        <f>+#REF!</f>
        <v>#REF!</v>
      </c>
      <c r="E92" s="1143" t="e">
        <f>+#REF!</f>
        <v>#REF!</v>
      </c>
      <c r="F92" s="1143" t="e">
        <f>+#REF!</f>
        <v>#REF!</v>
      </c>
      <c r="G92" s="1143"/>
      <c r="H92" s="1146" t="s">
        <v>2052</v>
      </c>
      <c r="I92" s="1143">
        <v>10</v>
      </c>
      <c r="J92" s="1147" t="e">
        <f t="shared" si="11"/>
        <v>#REF!</v>
      </c>
    </row>
    <row r="93" spans="1:10" ht="15.75" hidden="1">
      <c r="A93" s="1145" t="e">
        <f t="shared" ref="A93:A94" si="14">+MAX(A90:A92)+1</f>
        <v>#REF!</v>
      </c>
      <c r="B93" s="1137" t="e">
        <f>+#REF!</f>
        <v>#REF!</v>
      </c>
      <c r="C93" s="1138" t="e">
        <f>+#REF!</f>
        <v>#REF!</v>
      </c>
      <c r="D93" s="1143" t="e">
        <f>+#REF!</f>
        <v>#REF!</v>
      </c>
      <c r="E93" s="1143" t="e">
        <f>+#REF!</f>
        <v>#REF!</v>
      </c>
      <c r="F93" s="1143" t="e">
        <f>+#REF!</f>
        <v>#REF!</v>
      </c>
      <c r="G93" s="1143"/>
      <c r="H93" s="1146" t="s">
        <v>2052</v>
      </c>
      <c r="I93" s="1143">
        <v>65.699999999999989</v>
      </c>
      <c r="J93" s="1147" t="e">
        <f t="shared" si="11"/>
        <v>#REF!</v>
      </c>
    </row>
    <row r="94" spans="1:10" ht="15.75" hidden="1">
      <c r="A94" s="1145" t="e">
        <f t="shared" si="14"/>
        <v>#REF!</v>
      </c>
      <c r="B94" s="1137" t="e">
        <f>+#REF!</f>
        <v>#REF!</v>
      </c>
      <c r="C94" s="1138" t="e">
        <f>+#REF!</f>
        <v>#REF!</v>
      </c>
      <c r="D94" s="1143" t="e">
        <f>+#REF!</f>
        <v>#REF!</v>
      </c>
      <c r="E94" s="1143" t="e">
        <f>+#REF!</f>
        <v>#REF!</v>
      </c>
      <c r="F94" s="1143" t="e">
        <f>+#REF!</f>
        <v>#REF!</v>
      </c>
      <c r="G94" s="1143"/>
      <c r="H94" s="1146" t="s">
        <v>2052</v>
      </c>
      <c r="I94" s="1143">
        <v>32.200000000000003</v>
      </c>
      <c r="J94" s="1147" t="e">
        <f t="shared" si="11"/>
        <v>#REF!</v>
      </c>
    </row>
    <row r="95" spans="1:10" s="1152" customFormat="1" ht="15.75">
      <c r="A95" s="1150"/>
      <c r="B95" s="1137">
        <v>10</v>
      </c>
      <c r="C95" s="1138" t="e">
        <f>+#REF!</f>
        <v>#REF!</v>
      </c>
      <c r="D95" s="1143" t="e">
        <f>SUM(D96:D111)</f>
        <v>#REF!</v>
      </c>
      <c r="E95" s="1143" t="e">
        <f>SUM(E96:E111)</f>
        <v>#REF!</v>
      </c>
      <c r="F95" s="1143" t="e">
        <f>SUM(F96:F111)</f>
        <v>#REF!</v>
      </c>
      <c r="G95" s="1143"/>
      <c r="H95" s="1146" t="s">
        <v>1777</v>
      </c>
      <c r="I95" s="1144">
        <v>1103.3000000000002</v>
      </c>
      <c r="J95" s="1147" t="e">
        <f t="shared" si="11"/>
        <v>#REF!</v>
      </c>
    </row>
    <row r="96" spans="1:10" ht="15.75" hidden="1">
      <c r="A96" s="1145" t="e">
        <f>+MAX(A94:A95)+1</f>
        <v>#REF!</v>
      </c>
      <c r="B96" s="1137" t="e">
        <f>+#REF!</f>
        <v>#REF!</v>
      </c>
      <c r="C96" s="1138" t="e">
        <f>+#REF!</f>
        <v>#REF!</v>
      </c>
      <c r="D96" s="1143" t="e">
        <f>+#REF!</f>
        <v>#REF!</v>
      </c>
      <c r="E96" s="1143" t="e">
        <f>+#REF!</f>
        <v>#REF!</v>
      </c>
      <c r="F96" s="1143" t="e">
        <f>+#REF!</f>
        <v>#REF!</v>
      </c>
      <c r="G96" s="1143"/>
      <c r="H96" s="1146" t="s">
        <v>2052</v>
      </c>
      <c r="I96" s="1143">
        <v>123</v>
      </c>
      <c r="J96" s="1147" t="e">
        <f t="shared" si="11"/>
        <v>#REF!</v>
      </c>
    </row>
    <row r="97" spans="1:10" ht="15.75" hidden="1">
      <c r="A97" s="1145" t="e">
        <f>+MAX(A95:A96)+1</f>
        <v>#REF!</v>
      </c>
      <c r="B97" s="1137" t="e">
        <f>+#REF!</f>
        <v>#REF!</v>
      </c>
      <c r="C97" s="1138" t="e">
        <f>+#REF!</f>
        <v>#REF!</v>
      </c>
      <c r="D97" s="1143" t="e">
        <f>+#REF!</f>
        <v>#REF!</v>
      </c>
      <c r="E97" s="1143" t="e">
        <f>+#REF!</f>
        <v>#REF!</v>
      </c>
      <c r="F97" s="1143" t="e">
        <f>+#REF!</f>
        <v>#REF!</v>
      </c>
      <c r="G97" s="1143"/>
      <c r="H97" s="1146" t="s">
        <v>2052</v>
      </c>
      <c r="I97" s="1143">
        <v>37.9</v>
      </c>
      <c r="J97" s="1147" t="e">
        <f t="shared" si="11"/>
        <v>#REF!</v>
      </c>
    </row>
    <row r="98" spans="1:10" ht="15.75" hidden="1">
      <c r="A98" s="1145" t="e">
        <f t="shared" ref="A98:A109" si="15">+MAX(A95:A97)+1</f>
        <v>#REF!</v>
      </c>
      <c r="B98" s="1137" t="e">
        <f>+#REF!</f>
        <v>#REF!</v>
      </c>
      <c r="C98" s="1138" t="e">
        <f>+#REF!</f>
        <v>#REF!</v>
      </c>
      <c r="D98" s="1143" t="e">
        <f>+#REF!</f>
        <v>#REF!</v>
      </c>
      <c r="E98" s="1143" t="e">
        <f>+#REF!</f>
        <v>#REF!</v>
      </c>
      <c r="F98" s="1143" t="e">
        <f>+#REF!</f>
        <v>#REF!</v>
      </c>
      <c r="G98" s="1143"/>
      <c r="H98" s="1146" t="s">
        <v>2052</v>
      </c>
      <c r="I98" s="1143">
        <v>43.599999999999994</v>
      </c>
      <c r="J98" s="1147" t="e">
        <f t="shared" si="11"/>
        <v>#REF!</v>
      </c>
    </row>
    <row r="99" spans="1:10" ht="15.75" hidden="1">
      <c r="A99" s="1145" t="e">
        <f t="shared" si="15"/>
        <v>#REF!</v>
      </c>
      <c r="B99" s="1137" t="e">
        <f>+#REF!</f>
        <v>#REF!</v>
      </c>
      <c r="C99" s="1138" t="e">
        <f>+#REF!</f>
        <v>#REF!</v>
      </c>
      <c r="D99" s="1143" t="e">
        <f>+#REF!</f>
        <v>#REF!</v>
      </c>
      <c r="E99" s="1143" t="e">
        <f>+#REF!</f>
        <v>#REF!</v>
      </c>
      <c r="F99" s="1143" t="e">
        <f>+#REF!</f>
        <v>#REF!</v>
      </c>
      <c r="G99" s="1143"/>
      <c r="H99" s="1146" t="s">
        <v>2052</v>
      </c>
      <c r="I99" s="1143">
        <v>26.9</v>
      </c>
      <c r="J99" s="1147" t="e">
        <f t="shared" si="11"/>
        <v>#REF!</v>
      </c>
    </row>
    <row r="100" spans="1:10" ht="15.75" hidden="1">
      <c r="A100" s="1145" t="e">
        <f t="shared" si="15"/>
        <v>#REF!</v>
      </c>
      <c r="B100" s="1137" t="e">
        <f>+#REF!</f>
        <v>#REF!</v>
      </c>
      <c r="C100" s="1138" t="e">
        <f>+#REF!</f>
        <v>#REF!</v>
      </c>
      <c r="D100" s="1143" t="e">
        <f>+#REF!</f>
        <v>#REF!</v>
      </c>
      <c r="E100" s="1143" t="e">
        <f>+#REF!</f>
        <v>#REF!</v>
      </c>
      <c r="F100" s="1143" t="e">
        <f>+#REF!</f>
        <v>#REF!</v>
      </c>
      <c r="G100" s="1143"/>
      <c r="H100" s="1146" t="s">
        <v>2052</v>
      </c>
      <c r="I100" s="1143">
        <v>199</v>
      </c>
      <c r="J100" s="1147" t="e">
        <f t="shared" si="11"/>
        <v>#REF!</v>
      </c>
    </row>
    <row r="101" spans="1:10" ht="15.75" hidden="1">
      <c r="A101" s="1145" t="e">
        <f t="shared" si="15"/>
        <v>#REF!</v>
      </c>
      <c r="B101" s="1137" t="e">
        <f>+#REF!</f>
        <v>#REF!</v>
      </c>
      <c r="C101" s="1138" t="e">
        <f>+#REF!</f>
        <v>#REF!</v>
      </c>
      <c r="D101" s="1143" t="e">
        <f>+#REF!</f>
        <v>#REF!</v>
      </c>
      <c r="E101" s="1143" t="e">
        <f>+#REF!</f>
        <v>#REF!</v>
      </c>
      <c r="F101" s="1143" t="e">
        <f>+#REF!</f>
        <v>#REF!</v>
      </c>
      <c r="G101" s="1143"/>
      <c r="H101" s="1146" t="s">
        <v>2052</v>
      </c>
      <c r="I101" s="1143">
        <v>49.8</v>
      </c>
      <c r="J101" s="1147" t="e">
        <f t="shared" si="11"/>
        <v>#REF!</v>
      </c>
    </row>
    <row r="102" spans="1:10" ht="15.75" hidden="1">
      <c r="A102" s="1145" t="e">
        <f t="shared" si="15"/>
        <v>#REF!</v>
      </c>
      <c r="B102" s="1137" t="e">
        <f>+#REF!</f>
        <v>#REF!</v>
      </c>
      <c r="C102" s="1138" t="e">
        <f>+#REF!</f>
        <v>#REF!</v>
      </c>
      <c r="D102" s="1143" t="e">
        <f>+#REF!</f>
        <v>#REF!</v>
      </c>
      <c r="E102" s="1143" t="e">
        <f>+#REF!</f>
        <v>#REF!</v>
      </c>
      <c r="F102" s="1143" t="e">
        <f>+#REF!</f>
        <v>#REF!</v>
      </c>
      <c r="G102" s="1143"/>
      <c r="H102" s="1146" t="s">
        <v>2052</v>
      </c>
      <c r="I102" s="1143">
        <v>30</v>
      </c>
      <c r="J102" s="1147" t="e">
        <f t="shared" si="11"/>
        <v>#REF!</v>
      </c>
    </row>
    <row r="103" spans="1:10" ht="15.75" hidden="1">
      <c r="A103" s="1145" t="e">
        <f t="shared" si="15"/>
        <v>#REF!</v>
      </c>
      <c r="B103" s="1137" t="e">
        <f>+#REF!</f>
        <v>#REF!</v>
      </c>
      <c r="C103" s="1138" t="e">
        <f>+#REF!</f>
        <v>#REF!</v>
      </c>
      <c r="D103" s="1143" t="e">
        <f>+#REF!</f>
        <v>#REF!</v>
      </c>
      <c r="E103" s="1143" t="e">
        <f>+#REF!</f>
        <v>#REF!</v>
      </c>
      <c r="F103" s="1143" t="e">
        <f>+#REF!</f>
        <v>#REF!</v>
      </c>
      <c r="G103" s="1143"/>
      <c r="H103" s="1146" t="s">
        <v>2052</v>
      </c>
      <c r="I103" s="1143">
        <v>24.1</v>
      </c>
      <c r="J103" s="1147" t="e">
        <f t="shared" si="11"/>
        <v>#REF!</v>
      </c>
    </row>
    <row r="104" spans="1:10" ht="15.75" hidden="1">
      <c r="A104" s="1145" t="e">
        <f t="shared" si="15"/>
        <v>#REF!</v>
      </c>
      <c r="B104" s="1137" t="e">
        <f>+#REF!</f>
        <v>#REF!</v>
      </c>
      <c r="C104" s="1138" t="e">
        <f>+#REF!</f>
        <v>#REF!</v>
      </c>
      <c r="D104" s="1143" t="e">
        <f>+#REF!</f>
        <v>#REF!</v>
      </c>
      <c r="E104" s="1143" t="e">
        <f>+#REF!</f>
        <v>#REF!</v>
      </c>
      <c r="F104" s="1143" t="e">
        <f>+#REF!</f>
        <v>#REF!</v>
      </c>
      <c r="G104" s="1143"/>
      <c r="H104" s="1146" t="s">
        <v>2052</v>
      </c>
      <c r="I104" s="1143">
        <v>193.1</v>
      </c>
      <c r="J104" s="1147" t="e">
        <f t="shared" si="11"/>
        <v>#REF!</v>
      </c>
    </row>
    <row r="105" spans="1:10" ht="15.75" hidden="1">
      <c r="A105" s="1145" t="e">
        <f t="shared" si="15"/>
        <v>#REF!</v>
      </c>
      <c r="B105" s="1137" t="e">
        <f>+#REF!</f>
        <v>#REF!</v>
      </c>
      <c r="C105" s="1138" t="e">
        <f>+#REF!</f>
        <v>#REF!</v>
      </c>
      <c r="D105" s="1143" t="e">
        <f>+#REF!</f>
        <v>#REF!</v>
      </c>
      <c r="E105" s="1143" t="e">
        <f>+#REF!</f>
        <v>#REF!</v>
      </c>
      <c r="F105" s="1143" t="e">
        <f>+#REF!</f>
        <v>#REF!</v>
      </c>
      <c r="G105" s="1143"/>
      <c r="H105" s="1146" t="s">
        <v>2052</v>
      </c>
      <c r="I105" s="1143">
        <v>67.899999999999991</v>
      </c>
      <c r="J105" s="1147" t="e">
        <f t="shared" si="11"/>
        <v>#REF!</v>
      </c>
    </row>
    <row r="106" spans="1:10" ht="15.75" hidden="1">
      <c r="A106" s="1145" t="e">
        <f t="shared" si="15"/>
        <v>#REF!</v>
      </c>
      <c r="B106" s="1137" t="e">
        <f>+#REF!</f>
        <v>#REF!</v>
      </c>
      <c r="C106" s="1138" t="e">
        <f>+#REF!</f>
        <v>#REF!</v>
      </c>
      <c r="D106" s="1143" t="e">
        <f>+#REF!</f>
        <v>#REF!</v>
      </c>
      <c r="E106" s="1143" t="e">
        <f>+#REF!</f>
        <v>#REF!</v>
      </c>
      <c r="F106" s="1143" t="e">
        <f>+#REF!</f>
        <v>#REF!</v>
      </c>
      <c r="G106" s="1143"/>
      <c r="H106" s="1146" t="s">
        <v>2052</v>
      </c>
      <c r="I106" s="1143">
        <v>58.1</v>
      </c>
      <c r="J106" s="1147" t="e">
        <f t="shared" si="11"/>
        <v>#REF!</v>
      </c>
    </row>
    <row r="107" spans="1:10" ht="15.75" hidden="1">
      <c r="A107" s="1145" t="e">
        <f t="shared" si="15"/>
        <v>#REF!</v>
      </c>
      <c r="B107" s="1137" t="e">
        <f>+#REF!</f>
        <v>#REF!</v>
      </c>
      <c r="C107" s="1138" t="e">
        <f>+#REF!</f>
        <v>#REF!</v>
      </c>
      <c r="D107" s="1143" t="e">
        <f>+#REF!</f>
        <v>#REF!</v>
      </c>
      <c r="E107" s="1143" t="e">
        <f>+#REF!</f>
        <v>#REF!</v>
      </c>
      <c r="F107" s="1143" t="e">
        <f>+#REF!</f>
        <v>#REF!</v>
      </c>
      <c r="G107" s="1143"/>
      <c r="H107" s="1146" t="s">
        <v>2052</v>
      </c>
      <c r="I107" s="1143">
        <v>55.1</v>
      </c>
      <c r="J107" s="1147" t="e">
        <f t="shared" si="11"/>
        <v>#REF!</v>
      </c>
    </row>
    <row r="108" spans="1:10" ht="15.75" hidden="1">
      <c r="A108" s="1145" t="e">
        <f t="shared" si="15"/>
        <v>#REF!</v>
      </c>
      <c r="B108" s="1137" t="e">
        <f>+#REF!</f>
        <v>#REF!</v>
      </c>
      <c r="C108" s="1138" t="e">
        <f>+#REF!</f>
        <v>#REF!</v>
      </c>
      <c r="D108" s="1143" t="e">
        <f>+#REF!</f>
        <v>#REF!</v>
      </c>
      <c r="E108" s="1143" t="e">
        <f>+#REF!</f>
        <v>#REF!</v>
      </c>
      <c r="F108" s="1143" t="e">
        <f>+#REF!</f>
        <v>#REF!</v>
      </c>
      <c r="G108" s="1143"/>
      <c r="H108" s="1146" t="s">
        <v>2052</v>
      </c>
      <c r="I108" s="1143">
        <v>92.2</v>
      </c>
      <c r="J108" s="1147" t="e">
        <f t="shared" si="11"/>
        <v>#REF!</v>
      </c>
    </row>
    <row r="109" spans="1:10" ht="15.75" hidden="1">
      <c r="A109" s="1145" t="e">
        <f t="shared" si="15"/>
        <v>#REF!</v>
      </c>
      <c r="B109" s="1137" t="e">
        <f>+#REF!</f>
        <v>#REF!</v>
      </c>
      <c r="C109" s="1138" t="e">
        <f>+#REF!</f>
        <v>#REF!</v>
      </c>
      <c r="D109" s="1143" t="e">
        <f>+#REF!</f>
        <v>#REF!</v>
      </c>
      <c r="E109" s="1143" t="e">
        <f>+#REF!</f>
        <v>#REF!</v>
      </c>
      <c r="F109" s="1143" t="e">
        <f>+#REF!</f>
        <v>#REF!</v>
      </c>
      <c r="G109" s="1143"/>
      <c r="H109" s="1146" t="s">
        <v>2052</v>
      </c>
      <c r="I109" s="1143">
        <v>32.200000000000003</v>
      </c>
      <c r="J109" s="1147" t="e">
        <f t="shared" si="11"/>
        <v>#REF!</v>
      </c>
    </row>
    <row r="110" spans="1:10" ht="15.75" hidden="1">
      <c r="A110" s="1145" t="e">
        <f>+MAX(A108:A109)+1</f>
        <v>#REF!</v>
      </c>
      <c r="B110" s="1137" t="e">
        <f>+#REF!</f>
        <v>#REF!</v>
      </c>
      <c r="C110" s="1138" t="e">
        <f>+#REF!</f>
        <v>#REF!</v>
      </c>
      <c r="D110" s="1143" t="e">
        <f>+#REF!</f>
        <v>#REF!</v>
      </c>
      <c r="E110" s="1143" t="e">
        <f>+#REF!</f>
        <v>#REF!</v>
      </c>
      <c r="F110" s="1143" t="e">
        <f>+#REF!</f>
        <v>#REF!</v>
      </c>
      <c r="G110" s="1143"/>
      <c r="H110" s="1146" t="s">
        <v>2052</v>
      </c>
      <c r="I110" s="1143">
        <v>48</v>
      </c>
      <c r="J110" s="1147" t="e">
        <f t="shared" si="11"/>
        <v>#REF!</v>
      </c>
    </row>
    <row r="111" spans="1:10" ht="15.75" hidden="1">
      <c r="A111" s="1145" t="e">
        <f>+MAX(A109:A110)+1</f>
        <v>#REF!</v>
      </c>
      <c r="B111" s="1137" t="e">
        <f>+#REF!</f>
        <v>#REF!</v>
      </c>
      <c r="C111" s="1138" t="e">
        <f>+#REF!</f>
        <v>#REF!</v>
      </c>
      <c r="D111" s="1143" t="e">
        <f>+#REF!</f>
        <v>#REF!</v>
      </c>
      <c r="E111" s="1143" t="e">
        <f>+#REF!</f>
        <v>#REF!</v>
      </c>
      <c r="F111" s="1143" t="e">
        <f>+#REF!</f>
        <v>#REF!</v>
      </c>
      <c r="G111" s="1143"/>
      <c r="H111" s="1146" t="s">
        <v>2052</v>
      </c>
      <c r="I111" s="1143">
        <v>12.4</v>
      </c>
      <c r="J111" s="1147" t="e">
        <f t="shared" si="11"/>
        <v>#REF!</v>
      </c>
    </row>
    <row r="112" spans="1:10" s="1152" customFormat="1" ht="15.75">
      <c r="A112" s="1150"/>
      <c r="B112" s="1137">
        <v>11</v>
      </c>
      <c r="C112" s="1138" t="e">
        <f>+#REF!</f>
        <v>#REF!</v>
      </c>
      <c r="D112" s="1143" t="e">
        <f>SUM(D113:D118)</f>
        <v>#REF!</v>
      </c>
      <c r="E112" s="1143" t="e">
        <f t="shared" ref="E112:F112" si="16">SUM(E113:E118)</f>
        <v>#REF!</v>
      </c>
      <c r="F112" s="1143" t="e">
        <f t="shared" si="16"/>
        <v>#REF!</v>
      </c>
      <c r="G112" s="1143"/>
      <c r="H112" s="1146" t="s">
        <v>1777</v>
      </c>
      <c r="I112" s="1144">
        <v>3323.0999999999995</v>
      </c>
      <c r="J112" s="1147" t="e">
        <f t="shared" si="11"/>
        <v>#REF!</v>
      </c>
    </row>
    <row r="113" spans="1:10" ht="15.75" hidden="1">
      <c r="A113" s="1145" t="e">
        <f t="shared" ref="A113:A118" si="17">+MAX(A110:A112)+1</f>
        <v>#REF!</v>
      </c>
      <c r="B113" s="1137" t="e">
        <f>+#REF!</f>
        <v>#REF!</v>
      </c>
      <c r="C113" s="1138" t="e">
        <f>+#REF!</f>
        <v>#REF!</v>
      </c>
      <c r="D113" s="1143" t="e">
        <f>+#REF!</f>
        <v>#REF!</v>
      </c>
      <c r="E113" s="1143" t="e">
        <f>+#REF!</f>
        <v>#REF!</v>
      </c>
      <c r="F113" s="1143" t="e">
        <f>+#REF!</f>
        <v>#REF!</v>
      </c>
      <c r="G113" s="1143"/>
      <c r="H113" s="1146" t="s">
        <v>2052</v>
      </c>
      <c r="I113" s="1143">
        <v>297.8</v>
      </c>
      <c r="J113" s="1147" t="e">
        <f t="shared" si="11"/>
        <v>#REF!</v>
      </c>
    </row>
    <row r="114" spans="1:10" ht="15.75" hidden="1">
      <c r="A114" s="1145" t="e">
        <f t="shared" si="17"/>
        <v>#REF!</v>
      </c>
      <c r="B114" s="1137" t="e">
        <f>+#REF!</f>
        <v>#REF!</v>
      </c>
      <c r="C114" s="1138" t="e">
        <f>+#REF!</f>
        <v>#REF!</v>
      </c>
      <c r="D114" s="1143" t="e">
        <f>+#REF!</f>
        <v>#REF!</v>
      </c>
      <c r="E114" s="1143" t="e">
        <f>+#REF!</f>
        <v>#REF!</v>
      </c>
      <c r="F114" s="1143" t="e">
        <f>+#REF!</f>
        <v>#REF!</v>
      </c>
      <c r="G114" s="1143"/>
      <c r="H114" s="1146" t="s">
        <v>2052</v>
      </c>
      <c r="I114" s="1143">
        <v>464</v>
      </c>
      <c r="J114" s="1147" t="e">
        <f t="shared" si="11"/>
        <v>#REF!</v>
      </c>
    </row>
    <row r="115" spans="1:10" ht="15.75" hidden="1">
      <c r="A115" s="1145" t="e">
        <f t="shared" si="17"/>
        <v>#REF!</v>
      </c>
      <c r="B115" s="1137" t="e">
        <f>+#REF!</f>
        <v>#REF!</v>
      </c>
      <c r="C115" s="1138" t="e">
        <f>+#REF!</f>
        <v>#REF!</v>
      </c>
      <c r="D115" s="1143" t="e">
        <f>+#REF!</f>
        <v>#REF!</v>
      </c>
      <c r="E115" s="1143" t="e">
        <f>+#REF!</f>
        <v>#REF!</v>
      </c>
      <c r="F115" s="1143" t="e">
        <f>+#REF!</f>
        <v>#REF!</v>
      </c>
      <c r="G115" s="1143"/>
      <c r="H115" s="1146" t="s">
        <v>2052</v>
      </c>
      <c r="I115" s="1143">
        <v>456.49999999999989</v>
      </c>
      <c r="J115" s="1147" t="e">
        <f t="shared" si="11"/>
        <v>#REF!</v>
      </c>
    </row>
    <row r="116" spans="1:10" ht="15.75" hidden="1">
      <c r="A116" s="1145" t="e">
        <f t="shared" si="17"/>
        <v>#REF!</v>
      </c>
      <c r="B116" s="1137" t="e">
        <f>+#REF!</f>
        <v>#REF!</v>
      </c>
      <c r="C116" s="1138" t="e">
        <f>+#REF!</f>
        <v>#REF!</v>
      </c>
      <c r="D116" s="1143" t="e">
        <f>+#REF!</f>
        <v>#REF!</v>
      </c>
      <c r="E116" s="1143" t="e">
        <f>+#REF!</f>
        <v>#REF!</v>
      </c>
      <c r="F116" s="1143" t="e">
        <f>+#REF!</f>
        <v>#REF!</v>
      </c>
      <c r="G116" s="1143"/>
      <c r="H116" s="1146" t="s">
        <v>2052</v>
      </c>
      <c r="I116" s="1143">
        <v>1098.0999999999999</v>
      </c>
      <c r="J116" s="1147" t="e">
        <f t="shared" si="11"/>
        <v>#REF!</v>
      </c>
    </row>
    <row r="117" spans="1:10" ht="15.75" hidden="1">
      <c r="A117" s="1145" t="e">
        <f t="shared" si="17"/>
        <v>#REF!</v>
      </c>
      <c r="B117" s="1137" t="e">
        <f>+#REF!</f>
        <v>#REF!</v>
      </c>
      <c r="C117" s="1138" t="e">
        <f>+#REF!</f>
        <v>#REF!</v>
      </c>
      <c r="D117" s="1143" t="e">
        <f>+#REF!</f>
        <v>#REF!</v>
      </c>
      <c r="E117" s="1143" t="e">
        <f>+#REF!</f>
        <v>#REF!</v>
      </c>
      <c r="F117" s="1143" t="e">
        <f>+#REF!</f>
        <v>#REF!</v>
      </c>
      <c r="G117" s="1143"/>
      <c r="H117" s="1146" t="s">
        <v>2052</v>
      </c>
      <c r="I117" s="1143">
        <v>350.79999999999995</v>
      </c>
      <c r="J117" s="1147" t="e">
        <f t="shared" si="11"/>
        <v>#REF!</v>
      </c>
    </row>
    <row r="118" spans="1:10" ht="15.75" hidden="1">
      <c r="A118" s="1145" t="e">
        <f t="shared" si="17"/>
        <v>#REF!</v>
      </c>
      <c r="B118" s="1137" t="e">
        <f>+#REF!</f>
        <v>#REF!</v>
      </c>
      <c r="C118" s="1138" t="e">
        <f>+#REF!</f>
        <v>#REF!</v>
      </c>
      <c r="D118" s="1143" t="e">
        <f>+#REF!</f>
        <v>#REF!</v>
      </c>
      <c r="E118" s="1143" t="e">
        <f>+#REF!</f>
        <v>#REF!</v>
      </c>
      <c r="F118" s="1143" t="e">
        <f>+#REF!</f>
        <v>#REF!</v>
      </c>
      <c r="G118" s="1143"/>
      <c r="H118" s="1146" t="s">
        <v>2052</v>
      </c>
      <c r="I118" s="1143">
        <v>655.89999999999986</v>
      </c>
      <c r="J118" s="1147" t="e">
        <f t="shared" si="11"/>
        <v>#REF!</v>
      </c>
    </row>
    <row r="119" spans="1:10" s="1152" customFormat="1" ht="15.75">
      <c r="A119" s="1150"/>
      <c r="B119" s="1137">
        <v>12</v>
      </c>
      <c r="C119" s="1138" t="e">
        <f>+#REF!</f>
        <v>#REF!</v>
      </c>
      <c r="D119" s="1143" t="e">
        <f>SUM(D120:D132)</f>
        <v>#REF!</v>
      </c>
      <c r="E119" s="1143" t="e">
        <f t="shared" ref="E119:F119" si="18">SUM(E120:E132)</f>
        <v>#REF!</v>
      </c>
      <c r="F119" s="1143" t="e">
        <f t="shared" si="18"/>
        <v>#REF!</v>
      </c>
      <c r="G119" s="1143"/>
      <c r="H119" s="1146" t="s">
        <v>2052</v>
      </c>
      <c r="I119" s="1144">
        <v>2638.4999999999995</v>
      </c>
      <c r="J119" s="1147" t="e">
        <f t="shared" si="11"/>
        <v>#REF!</v>
      </c>
    </row>
    <row r="120" spans="1:10" ht="15.75" hidden="1">
      <c r="A120" s="1145" t="e">
        <f t="shared" ref="A120:A132" si="19">+MAX(A117:A119)+1</f>
        <v>#REF!</v>
      </c>
      <c r="B120" s="1137" t="e">
        <f>+#REF!</f>
        <v>#REF!</v>
      </c>
      <c r="C120" s="1138" t="e">
        <f>+#REF!</f>
        <v>#REF!</v>
      </c>
      <c r="D120" s="1143" t="e">
        <f>+#REF!</f>
        <v>#REF!</v>
      </c>
      <c r="E120" s="1143" t="e">
        <f>+#REF!</f>
        <v>#REF!</v>
      </c>
      <c r="F120" s="1143" t="e">
        <f>+#REF!</f>
        <v>#REF!</v>
      </c>
      <c r="G120" s="1143"/>
      <c r="H120" s="1146" t="s">
        <v>2052</v>
      </c>
      <c r="I120" s="1143">
        <v>279.3</v>
      </c>
      <c r="J120" s="1147" t="e">
        <f t="shared" si="11"/>
        <v>#REF!</v>
      </c>
    </row>
    <row r="121" spans="1:10" ht="15.75" hidden="1">
      <c r="A121" s="1145" t="e">
        <f t="shared" si="19"/>
        <v>#REF!</v>
      </c>
      <c r="B121" s="1137" t="e">
        <f>+#REF!</f>
        <v>#REF!</v>
      </c>
      <c r="C121" s="1138" t="e">
        <f>+#REF!</f>
        <v>#REF!</v>
      </c>
      <c r="D121" s="1143" t="e">
        <f>+#REF!</f>
        <v>#REF!</v>
      </c>
      <c r="E121" s="1143" t="e">
        <f>+#REF!</f>
        <v>#REF!</v>
      </c>
      <c r="F121" s="1143" t="e">
        <f>+#REF!</f>
        <v>#REF!</v>
      </c>
      <c r="G121" s="1143"/>
      <c r="H121" s="1146" t="s">
        <v>2052</v>
      </c>
      <c r="I121" s="1143">
        <v>34.799999999999997</v>
      </c>
      <c r="J121" s="1147" t="e">
        <f t="shared" si="11"/>
        <v>#REF!</v>
      </c>
    </row>
    <row r="122" spans="1:10" ht="15.75" hidden="1">
      <c r="A122" s="1145" t="e">
        <f t="shared" si="19"/>
        <v>#REF!</v>
      </c>
      <c r="B122" s="1137" t="e">
        <f>+#REF!</f>
        <v>#REF!</v>
      </c>
      <c r="C122" s="1138" t="e">
        <f>+#REF!</f>
        <v>#REF!</v>
      </c>
      <c r="D122" s="1143" t="e">
        <f>+#REF!</f>
        <v>#REF!</v>
      </c>
      <c r="E122" s="1143" t="e">
        <f>+#REF!</f>
        <v>#REF!</v>
      </c>
      <c r="F122" s="1143" t="e">
        <f>+#REF!</f>
        <v>#REF!</v>
      </c>
      <c r="G122" s="1143"/>
      <c r="H122" s="1146" t="s">
        <v>2052</v>
      </c>
      <c r="I122" s="1143">
        <v>252.9</v>
      </c>
      <c r="J122" s="1147" t="e">
        <f t="shared" si="11"/>
        <v>#REF!</v>
      </c>
    </row>
    <row r="123" spans="1:10" ht="15.75" hidden="1">
      <c r="A123" s="1145" t="e">
        <f t="shared" si="19"/>
        <v>#REF!</v>
      </c>
      <c r="B123" s="1137" t="e">
        <f>+#REF!</f>
        <v>#REF!</v>
      </c>
      <c r="C123" s="1138" t="e">
        <f>+#REF!</f>
        <v>#REF!</v>
      </c>
      <c r="D123" s="1143" t="e">
        <f>+#REF!</f>
        <v>#REF!</v>
      </c>
      <c r="E123" s="1143" t="e">
        <f>+#REF!</f>
        <v>#REF!</v>
      </c>
      <c r="F123" s="1143" t="e">
        <f>+#REF!</f>
        <v>#REF!</v>
      </c>
      <c r="G123" s="1143"/>
      <c r="H123" s="1146" t="s">
        <v>2052</v>
      </c>
      <c r="I123" s="1143">
        <v>193.59999999999997</v>
      </c>
      <c r="J123" s="1147" t="e">
        <f t="shared" si="11"/>
        <v>#REF!</v>
      </c>
    </row>
    <row r="124" spans="1:10" ht="15.75" hidden="1">
      <c r="A124" s="1145" t="e">
        <f t="shared" si="19"/>
        <v>#REF!</v>
      </c>
      <c r="B124" s="1137" t="e">
        <f>+#REF!</f>
        <v>#REF!</v>
      </c>
      <c r="C124" s="1138" t="e">
        <f>+#REF!</f>
        <v>#REF!</v>
      </c>
      <c r="D124" s="1143" t="e">
        <f>+#REF!</f>
        <v>#REF!</v>
      </c>
      <c r="E124" s="1143" t="e">
        <f>+#REF!</f>
        <v>#REF!</v>
      </c>
      <c r="F124" s="1143" t="e">
        <f>+#REF!</f>
        <v>#REF!</v>
      </c>
      <c r="G124" s="1143"/>
      <c r="H124" s="1146" t="s">
        <v>2052</v>
      </c>
      <c r="I124" s="1143">
        <v>125</v>
      </c>
      <c r="J124" s="1147" t="e">
        <f t="shared" si="11"/>
        <v>#REF!</v>
      </c>
    </row>
    <row r="125" spans="1:10" ht="15.75" hidden="1">
      <c r="A125" s="1145" t="e">
        <f t="shared" si="19"/>
        <v>#REF!</v>
      </c>
      <c r="B125" s="1137" t="e">
        <f>+#REF!</f>
        <v>#REF!</v>
      </c>
      <c r="C125" s="1138" t="e">
        <f>+#REF!</f>
        <v>#REF!</v>
      </c>
      <c r="D125" s="1143" t="e">
        <f>+#REF!</f>
        <v>#REF!</v>
      </c>
      <c r="E125" s="1143" t="e">
        <f>+#REF!</f>
        <v>#REF!</v>
      </c>
      <c r="F125" s="1143" t="e">
        <f>+#REF!</f>
        <v>#REF!</v>
      </c>
      <c r="G125" s="1143"/>
      <c r="H125" s="1146" t="s">
        <v>2052</v>
      </c>
      <c r="I125" s="1143">
        <v>294.09999999999991</v>
      </c>
      <c r="J125" s="1147" t="e">
        <f t="shared" si="11"/>
        <v>#REF!</v>
      </c>
    </row>
    <row r="126" spans="1:10" ht="15.75" hidden="1">
      <c r="A126" s="1145" t="e">
        <f t="shared" si="19"/>
        <v>#REF!</v>
      </c>
      <c r="B126" s="1137" t="e">
        <f>+#REF!</f>
        <v>#REF!</v>
      </c>
      <c r="C126" s="1138" t="e">
        <f>+#REF!</f>
        <v>#REF!</v>
      </c>
      <c r="D126" s="1143" t="e">
        <f>+#REF!</f>
        <v>#REF!</v>
      </c>
      <c r="E126" s="1143" t="e">
        <f>+#REF!</f>
        <v>#REF!</v>
      </c>
      <c r="F126" s="1143" t="e">
        <f>+#REF!</f>
        <v>#REF!</v>
      </c>
      <c r="G126" s="1143"/>
      <c r="H126" s="1146" t="s">
        <v>2052</v>
      </c>
      <c r="I126" s="1143">
        <v>188.10000000000002</v>
      </c>
      <c r="J126" s="1147" t="e">
        <f t="shared" si="11"/>
        <v>#REF!</v>
      </c>
    </row>
    <row r="127" spans="1:10" ht="15.75" hidden="1">
      <c r="A127" s="1145" t="e">
        <f t="shared" si="19"/>
        <v>#REF!</v>
      </c>
      <c r="B127" s="1137" t="e">
        <f>+#REF!</f>
        <v>#REF!</v>
      </c>
      <c r="C127" s="1138" t="e">
        <f>+#REF!</f>
        <v>#REF!</v>
      </c>
      <c r="D127" s="1143" t="e">
        <f>+#REF!</f>
        <v>#REF!</v>
      </c>
      <c r="E127" s="1143" t="e">
        <f>+#REF!</f>
        <v>#REF!</v>
      </c>
      <c r="F127" s="1143" t="e">
        <f>+#REF!</f>
        <v>#REF!</v>
      </c>
      <c r="G127" s="1143"/>
      <c r="H127" s="1146" t="s">
        <v>2052</v>
      </c>
      <c r="I127" s="1143">
        <v>196.89999999999995</v>
      </c>
      <c r="J127" s="1147" t="e">
        <f t="shared" si="11"/>
        <v>#REF!</v>
      </c>
    </row>
    <row r="128" spans="1:10" ht="15.75" hidden="1">
      <c r="A128" s="1145" t="e">
        <f t="shared" si="19"/>
        <v>#REF!</v>
      </c>
      <c r="B128" s="1137" t="e">
        <f>+#REF!</f>
        <v>#REF!</v>
      </c>
      <c r="C128" s="1138" t="e">
        <f>+#REF!</f>
        <v>#REF!</v>
      </c>
      <c r="D128" s="1143" t="e">
        <f>+#REF!</f>
        <v>#REF!</v>
      </c>
      <c r="E128" s="1143" t="e">
        <f>+#REF!</f>
        <v>#REF!</v>
      </c>
      <c r="F128" s="1143" t="e">
        <f>+#REF!</f>
        <v>#REF!</v>
      </c>
      <c r="G128" s="1143"/>
      <c r="H128" s="1146" t="s">
        <v>2052</v>
      </c>
      <c r="I128" s="1143">
        <v>281</v>
      </c>
      <c r="J128" s="1147" t="e">
        <f t="shared" si="11"/>
        <v>#REF!</v>
      </c>
    </row>
    <row r="129" spans="1:10" ht="15.75" hidden="1">
      <c r="A129" s="1145" t="e">
        <f t="shared" si="19"/>
        <v>#REF!</v>
      </c>
      <c r="B129" s="1137" t="e">
        <f>+#REF!</f>
        <v>#REF!</v>
      </c>
      <c r="C129" s="1138" t="e">
        <f>+#REF!</f>
        <v>#REF!</v>
      </c>
      <c r="D129" s="1143" t="e">
        <f>+#REF!</f>
        <v>#REF!</v>
      </c>
      <c r="E129" s="1143" t="e">
        <f>+#REF!</f>
        <v>#REF!</v>
      </c>
      <c r="F129" s="1143" t="e">
        <f>+#REF!</f>
        <v>#REF!</v>
      </c>
      <c r="G129" s="1143"/>
      <c r="H129" s="1146" t="s">
        <v>2052</v>
      </c>
      <c r="I129" s="1143">
        <v>106</v>
      </c>
      <c r="J129" s="1147" t="e">
        <f t="shared" si="11"/>
        <v>#REF!</v>
      </c>
    </row>
    <row r="130" spans="1:10" ht="15.75" hidden="1">
      <c r="A130" s="1145" t="e">
        <f t="shared" si="19"/>
        <v>#REF!</v>
      </c>
      <c r="B130" s="1137" t="e">
        <f>+#REF!</f>
        <v>#REF!</v>
      </c>
      <c r="C130" s="1138" t="e">
        <f>+#REF!</f>
        <v>#REF!</v>
      </c>
      <c r="D130" s="1143" t="e">
        <f>+#REF!</f>
        <v>#REF!</v>
      </c>
      <c r="E130" s="1143" t="e">
        <f>+#REF!</f>
        <v>#REF!</v>
      </c>
      <c r="F130" s="1143" t="e">
        <f>+#REF!</f>
        <v>#REF!</v>
      </c>
      <c r="G130" s="1143"/>
      <c r="H130" s="1146" t="s">
        <v>2052</v>
      </c>
      <c r="I130" s="1143">
        <v>553.79999999999984</v>
      </c>
      <c r="J130" s="1147" t="e">
        <f t="shared" si="11"/>
        <v>#REF!</v>
      </c>
    </row>
    <row r="131" spans="1:10" ht="15.75" hidden="1">
      <c r="A131" s="1145" t="e">
        <f t="shared" si="19"/>
        <v>#REF!</v>
      </c>
      <c r="B131" s="1137" t="e">
        <f>+#REF!</f>
        <v>#REF!</v>
      </c>
      <c r="C131" s="1138" t="e">
        <f>+#REF!</f>
        <v>#REF!</v>
      </c>
      <c r="D131" s="1143" t="e">
        <f>+#REF!</f>
        <v>#REF!</v>
      </c>
      <c r="E131" s="1143" t="e">
        <f>+#REF!</f>
        <v>#REF!</v>
      </c>
      <c r="F131" s="1143" t="e">
        <f>+#REF!</f>
        <v>#REF!</v>
      </c>
      <c r="G131" s="1143"/>
      <c r="H131" s="1146" t="s">
        <v>2052</v>
      </c>
      <c r="I131" s="1143">
        <v>107</v>
      </c>
      <c r="J131" s="1147" t="e">
        <f t="shared" si="11"/>
        <v>#REF!</v>
      </c>
    </row>
    <row r="132" spans="1:10" ht="15.75" hidden="1">
      <c r="A132" s="1145" t="e">
        <f t="shared" si="19"/>
        <v>#REF!</v>
      </c>
      <c r="B132" s="1137" t="e">
        <f>+#REF!</f>
        <v>#REF!</v>
      </c>
      <c r="C132" s="1138" t="e">
        <f>+#REF!</f>
        <v>#REF!</v>
      </c>
      <c r="D132" s="1143" t="e">
        <f>+#REF!</f>
        <v>#REF!</v>
      </c>
      <c r="E132" s="1143" t="e">
        <f>+#REF!</f>
        <v>#REF!</v>
      </c>
      <c r="F132" s="1143" t="e">
        <f>+#REF!</f>
        <v>#REF!</v>
      </c>
      <c r="G132" s="1143"/>
      <c r="H132" s="1146" t="s">
        <v>2052</v>
      </c>
      <c r="I132" s="1143">
        <v>26</v>
      </c>
      <c r="J132" s="1147" t="e">
        <f t="shared" si="11"/>
        <v>#REF!</v>
      </c>
    </row>
    <row r="133" spans="1:10" ht="15.75">
      <c r="B133" s="1137">
        <v>13</v>
      </c>
      <c r="C133" s="1138" t="e">
        <f>+#REF!</f>
        <v>#REF!</v>
      </c>
      <c r="D133" s="1143" t="e">
        <f>+#REF!</f>
        <v>#REF!</v>
      </c>
      <c r="E133" s="1143">
        <f>SUM(E134:E145)</f>
        <v>0</v>
      </c>
      <c r="F133" s="1143" t="e">
        <f>+#REF!</f>
        <v>#REF!</v>
      </c>
      <c r="G133" s="1143"/>
      <c r="H133" s="1146" t="s">
        <v>2052</v>
      </c>
    </row>
  </sheetData>
  <mergeCells count="2">
    <mergeCell ref="B1:G1"/>
    <mergeCell ref="B2:F2"/>
  </mergeCells>
  <pageMargins left="0.7" right="0.7" top="0.75" bottom="0.75" header="0.3" footer="0.3"/>
  <pageSetup orientation="portrait" r:id="rId1"/>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7148E-20F5-454A-B659-4C11328747AD}">
  <sheetPr filterMode="1"/>
  <dimension ref="A1:H193"/>
  <sheetViews>
    <sheetView showZeros="0" workbookViewId="0">
      <selection activeCell="D8" sqref="D8:D193"/>
    </sheetView>
  </sheetViews>
  <sheetFormatPr defaultRowHeight="14.25"/>
  <cols>
    <col min="1" max="1" width="4.625" style="782" customWidth="1"/>
    <col min="2" max="2" width="37.625" style="719" customWidth="1"/>
    <col min="3" max="3" width="6.125" style="718" customWidth="1"/>
    <col min="4" max="4" width="10.625" style="756" customWidth="1"/>
    <col min="5" max="5" width="13" style="756" bestFit="1" customWidth="1"/>
    <col min="6" max="6" width="13.75" style="756" customWidth="1"/>
    <col min="7" max="7" width="7.875" style="718" customWidth="1"/>
    <col min="8" max="16384" width="9" style="719"/>
  </cols>
  <sheetData>
    <row r="1" spans="1:8" ht="25.5" customHeight="1">
      <c r="A1" s="1190" t="s">
        <v>1855</v>
      </c>
      <c r="B1" s="1190"/>
      <c r="C1" s="1190"/>
      <c r="D1" s="1190"/>
      <c r="E1" s="1190"/>
      <c r="F1" s="1190"/>
    </row>
    <row r="2" spans="1:8" s="721" customFormat="1" ht="38.25" hidden="1" customHeight="1">
      <c r="A2" s="1192" t="str">
        <f>'Du toan chi tiet'!A2:K2</f>
        <v>c«ng tr×nh: ®­êng quèc lé 24 ®I gß panu</v>
      </c>
      <c r="B2" s="1192"/>
      <c r="C2" s="1192"/>
      <c r="D2" s="1192"/>
      <c r="E2" s="1192"/>
      <c r="F2" s="1192"/>
      <c r="G2" s="720"/>
    </row>
    <row r="3" spans="1:8" s="721" customFormat="1" ht="16.5" hidden="1" customHeight="1">
      <c r="A3" s="1194">
        <f>'Du toan chi tiet'!A3:K3</f>
        <v>0</v>
      </c>
      <c r="B3" s="1194"/>
      <c r="C3" s="1194"/>
      <c r="D3" s="1194"/>
      <c r="E3" s="1194"/>
      <c r="F3" s="1194"/>
      <c r="G3" s="720"/>
    </row>
    <row r="4" spans="1:8" ht="15" thickBot="1">
      <c r="A4" s="777"/>
      <c r="B4" s="765"/>
      <c r="C4" s="766"/>
      <c r="D4" s="767"/>
      <c r="E4" s="767"/>
      <c r="F4" s="767"/>
    </row>
    <row r="5" spans="1:8" s="773" customFormat="1" ht="45" customHeight="1">
      <c r="A5" s="778" t="s">
        <v>136</v>
      </c>
      <c r="B5" s="768" t="s">
        <v>168</v>
      </c>
      <c r="C5" s="769" t="s">
        <v>142</v>
      </c>
      <c r="D5" s="770" t="s">
        <v>176</v>
      </c>
      <c r="E5" s="770" t="s">
        <v>1944</v>
      </c>
      <c r="F5" s="771" t="s">
        <v>178</v>
      </c>
      <c r="G5" s="772">
        <f>'Du toan chi tiet'!L5</f>
        <v>1</v>
      </c>
      <c r="H5" s="773">
        <v>2</v>
      </c>
    </row>
    <row r="6" spans="1:8" s="298" customFormat="1" ht="18" hidden="1" customHeight="1">
      <c r="A6" s="779" t="e">
        <f>G6</f>
        <v>#REF!</v>
      </c>
      <c r="B6" s="758" t="s">
        <v>999</v>
      </c>
      <c r="C6" s="774" t="s">
        <v>577</v>
      </c>
      <c r="D6" s="760"/>
      <c r="E6" s="760">
        <v>3000</v>
      </c>
      <c r="F6" s="761">
        <f>E6+D6</f>
        <v>3000</v>
      </c>
      <c r="G6" s="775" t="e">
        <f>IF(SUMIF(#REF!,B6,#REF!)&lt;&gt;0,$G$5,0)</f>
        <v>#REF!</v>
      </c>
    </row>
    <row r="7" spans="1:8" s="298" customFormat="1" ht="18" customHeight="1">
      <c r="A7" s="780" t="e">
        <f t="shared" ref="A7:A74" si="0">A6+G7</f>
        <v>#REF!</v>
      </c>
      <c r="B7" s="296" t="s">
        <v>1924</v>
      </c>
      <c r="C7" s="297" t="s">
        <v>45</v>
      </c>
      <c r="D7" s="738"/>
      <c r="E7" s="738">
        <v>750</v>
      </c>
      <c r="F7" s="763">
        <f>E7+D7</f>
        <v>750</v>
      </c>
      <c r="G7" s="775" t="e">
        <f>IF(SUMIF(#REF!,B7,#REF!)&lt;&gt;0,$G$5,0)</f>
        <v>#REF!</v>
      </c>
    </row>
    <row r="8" spans="1:8" s="298" customFormat="1" ht="18" customHeight="1">
      <c r="A8" s="780" t="e">
        <f t="shared" si="0"/>
        <v>#REF!</v>
      </c>
      <c r="B8" s="296" t="s">
        <v>1635</v>
      </c>
      <c r="C8" s="297" t="s">
        <v>577</v>
      </c>
      <c r="D8" s="738"/>
      <c r="E8" s="738">
        <v>3000</v>
      </c>
      <c r="F8" s="763">
        <f>E8+D8</f>
        <v>3000</v>
      </c>
      <c r="G8" s="775" t="e">
        <f>IF(SUMIF(#REF!,B8,#REF!)&lt;&gt;0,$G$5,0)</f>
        <v>#REF!</v>
      </c>
    </row>
    <row r="9" spans="1:8" s="298" customFormat="1" ht="18" customHeight="1">
      <c r="A9" s="780" t="e">
        <f t="shared" si="0"/>
        <v>#REF!</v>
      </c>
      <c r="B9" s="296" t="s">
        <v>1942</v>
      </c>
      <c r="C9" s="297" t="s">
        <v>7</v>
      </c>
      <c r="D9" s="738"/>
      <c r="E9" s="738">
        <f>1328000/1.08</f>
        <v>1229629.6296296297</v>
      </c>
      <c r="F9" s="763">
        <f t="shared" ref="F9:F11" si="1">E9+D9</f>
        <v>1229629.6296296297</v>
      </c>
      <c r="G9" s="775" t="e">
        <f>IF(SUMIF(#REF!,B9,#REF!)&lt;&gt;0,$G$5,0)</f>
        <v>#REF!</v>
      </c>
    </row>
    <row r="10" spans="1:8" s="298" customFormat="1" ht="18" hidden="1" customHeight="1">
      <c r="A10" s="780" t="e">
        <f t="shared" si="0"/>
        <v>#REF!</v>
      </c>
      <c r="B10" s="296" t="s">
        <v>1943</v>
      </c>
      <c r="C10" s="297" t="s">
        <v>7</v>
      </c>
      <c r="D10" s="738"/>
      <c r="E10" s="738">
        <v>1330000</v>
      </c>
      <c r="F10" s="763">
        <f t="shared" si="1"/>
        <v>1330000</v>
      </c>
      <c r="G10" s="775" t="e">
        <f>IF(SUMIF(#REF!,B10,#REF!)&lt;&gt;0,$G$5,0)</f>
        <v>#REF!</v>
      </c>
    </row>
    <row r="11" spans="1:8" s="298" customFormat="1" ht="18" hidden="1" customHeight="1">
      <c r="A11" s="780" t="e">
        <f t="shared" si="0"/>
        <v>#REF!</v>
      </c>
      <c r="B11" s="296" t="s">
        <v>1821</v>
      </c>
      <c r="C11" s="297" t="s">
        <v>940</v>
      </c>
      <c r="D11" s="738"/>
      <c r="E11" s="785">
        <v>921500</v>
      </c>
      <c r="F11" s="763">
        <f t="shared" si="1"/>
        <v>921500</v>
      </c>
      <c r="G11" s="775" t="e">
        <f>IF(SUMIF(#REF!,B11,#REF!)&lt;&gt;0,$G$5,0)</f>
        <v>#REF!</v>
      </c>
    </row>
    <row r="12" spans="1:8" s="298" customFormat="1" ht="18" customHeight="1">
      <c r="A12" s="780" t="e">
        <f t="shared" si="0"/>
        <v>#REF!</v>
      </c>
      <c r="B12" s="296" t="s">
        <v>1811</v>
      </c>
      <c r="C12" s="297" t="s">
        <v>45</v>
      </c>
      <c r="D12" s="738"/>
      <c r="E12" s="785">
        <f>521000/(0.9*0.4)</f>
        <v>1447222.222222222</v>
      </c>
      <c r="F12" s="763">
        <f t="shared" ref="F12:F79" si="2">E12+D12</f>
        <v>1447222.222222222</v>
      </c>
      <c r="G12" s="775" t="e">
        <f>IF(SUMIF(#REF!,B12,#REF!)&lt;&gt;0,$G$5,0)</f>
        <v>#REF!</v>
      </c>
    </row>
    <row r="13" spans="1:8" s="298" customFormat="1" ht="18" hidden="1" customHeight="1">
      <c r="A13" s="780" t="e">
        <f t="shared" si="0"/>
        <v>#REF!</v>
      </c>
      <c r="B13" s="296" t="s">
        <v>1810</v>
      </c>
      <c r="C13" s="297" t="s">
        <v>940</v>
      </c>
      <c r="D13" s="738"/>
      <c r="E13" s="785">
        <v>508000</v>
      </c>
      <c r="F13" s="763">
        <f t="shared" si="2"/>
        <v>508000</v>
      </c>
      <c r="G13" s="775" t="e">
        <f>IF(SUMIF(#REF!,B13,#REF!)&lt;&gt;0,$G$5,0)</f>
        <v>#REF!</v>
      </c>
    </row>
    <row r="14" spans="1:8" s="298" customFormat="1" ht="18" hidden="1" customHeight="1">
      <c r="A14" s="780" t="e">
        <f t="shared" si="0"/>
        <v>#REF!</v>
      </c>
      <c r="B14" s="296" t="s">
        <v>956</v>
      </c>
      <c r="C14" s="297" t="s">
        <v>607</v>
      </c>
      <c r="D14" s="738"/>
      <c r="E14" s="785">
        <v>4100</v>
      </c>
      <c r="F14" s="763">
        <f t="shared" si="2"/>
        <v>4100</v>
      </c>
      <c r="G14" s="775" t="e">
        <f>IF(SUMIF(#REF!,B14,#REF!)&lt;&gt;0,$G$5,0)</f>
        <v>#REF!</v>
      </c>
    </row>
    <row r="15" spans="1:8" s="298" customFormat="1" ht="18" hidden="1" customHeight="1">
      <c r="A15" s="780" t="e">
        <f t="shared" si="0"/>
        <v>#REF!</v>
      </c>
      <c r="B15" s="296" t="s">
        <v>955</v>
      </c>
      <c r="C15" s="297" t="s">
        <v>607</v>
      </c>
      <c r="D15" s="738"/>
      <c r="E15" s="785">
        <v>18100</v>
      </c>
      <c r="F15" s="763">
        <f t="shared" si="2"/>
        <v>18100</v>
      </c>
      <c r="G15" s="775" t="e">
        <f>IF(SUMIF(#REF!,B15,#REF!)&lt;&gt;0,$G$5,0)</f>
        <v>#REF!</v>
      </c>
    </row>
    <row r="16" spans="1:8" s="298" customFormat="1" ht="18" hidden="1" customHeight="1">
      <c r="A16" s="780" t="e">
        <f t="shared" si="0"/>
        <v>#REF!</v>
      </c>
      <c r="B16" s="296" t="s">
        <v>992</v>
      </c>
      <c r="C16" s="297" t="s">
        <v>607</v>
      </c>
      <c r="D16" s="738"/>
      <c r="E16" s="738">
        <v>65000</v>
      </c>
      <c r="F16" s="763">
        <f t="shared" si="2"/>
        <v>65000</v>
      </c>
      <c r="G16" s="775" t="e">
        <f>IF(SUMIF(#REF!,B16,#REF!)&lt;&gt;0,$G$5,0)</f>
        <v>#REF!</v>
      </c>
    </row>
    <row r="17" spans="1:7" s="298" customFormat="1" ht="18" hidden="1" customHeight="1">
      <c r="A17" s="780" t="e">
        <f t="shared" si="0"/>
        <v>#REF!</v>
      </c>
      <c r="B17" s="296" t="s">
        <v>1625</v>
      </c>
      <c r="C17" s="297" t="s">
        <v>82</v>
      </c>
      <c r="D17" s="738"/>
      <c r="E17" s="738">
        <v>10000</v>
      </c>
      <c r="F17" s="763">
        <f t="shared" si="2"/>
        <v>10000</v>
      </c>
      <c r="G17" s="775" t="e">
        <f>IF(SUMIF(#REF!,B17,#REF!)&lt;&gt;0,$G$5,0)</f>
        <v>#REF!</v>
      </c>
    </row>
    <row r="18" spans="1:7" s="298" customFormat="1" ht="18" hidden="1" customHeight="1">
      <c r="A18" s="780" t="e">
        <f t="shared" si="0"/>
        <v>#REF!</v>
      </c>
      <c r="B18" s="296" t="s">
        <v>980</v>
      </c>
      <c r="C18" s="297" t="s">
        <v>129</v>
      </c>
      <c r="D18" s="738"/>
      <c r="E18" s="785">
        <v>1377000</v>
      </c>
      <c r="F18" s="763">
        <f t="shared" si="2"/>
        <v>1377000</v>
      </c>
      <c r="G18" s="775" t="e">
        <f>IF(SUMIF(#REF!,B18,#REF!)&lt;&gt;0,$G$5,0)</f>
        <v>#REF!</v>
      </c>
    </row>
    <row r="19" spans="1:7" s="298" customFormat="1" ht="18" hidden="1" customHeight="1">
      <c r="A19" s="780" t="e">
        <f t="shared" si="0"/>
        <v>#REF!</v>
      </c>
      <c r="B19" s="296" t="s">
        <v>979</v>
      </c>
      <c r="C19" s="297" t="s">
        <v>129</v>
      </c>
      <c r="D19" s="738"/>
      <c r="E19" s="785">
        <v>3166000</v>
      </c>
      <c r="F19" s="763">
        <f t="shared" si="2"/>
        <v>3166000</v>
      </c>
      <c r="G19" s="775" t="e">
        <f>IF(SUMIF(#REF!,B19,#REF!)&lt;&gt;0,$G$5,0)</f>
        <v>#REF!</v>
      </c>
    </row>
    <row r="20" spans="1:7" s="298" customFormat="1" ht="18" hidden="1" customHeight="1">
      <c r="A20" s="780" t="e">
        <f t="shared" si="0"/>
        <v>#REF!</v>
      </c>
      <c r="B20" s="296" t="s">
        <v>1650</v>
      </c>
      <c r="C20" s="297" t="s">
        <v>129</v>
      </c>
      <c r="D20" s="738"/>
      <c r="E20" s="738">
        <v>694000</v>
      </c>
      <c r="F20" s="763">
        <f t="shared" si="2"/>
        <v>694000</v>
      </c>
      <c r="G20" s="775" t="e">
        <f>IF(SUMIF(#REF!,B20,#REF!)&lt;&gt;0,$G$5,0)</f>
        <v>#REF!</v>
      </c>
    </row>
    <row r="21" spans="1:7" s="298" customFormat="1" ht="18" hidden="1" customHeight="1">
      <c r="A21" s="780" t="e">
        <f t="shared" si="0"/>
        <v>#REF!</v>
      </c>
      <c r="B21" s="296" t="s">
        <v>1715</v>
      </c>
      <c r="C21" s="297" t="s">
        <v>82</v>
      </c>
      <c r="D21" s="738"/>
      <c r="E21" s="738">
        <v>200000</v>
      </c>
      <c r="F21" s="763">
        <f t="shared" si="2"/>
        <v>200000</v>
      </c>
      <c r="G21" s="775" t="e">
        <f>IF(SUMIF(#REF!,B21,#REF!)&lt;&gt;0,$G$5,0)</f>
        <v>#REF!</v>
      </c>
    </row>
    <row r="22" spans="1:7" s="298" customFormat="1" ht="18" hidden="1" customHeight="1">
      <c r="A22" s="780" t="e">
        <f t="shared" si="0"/>
        <v>#REF!</v>
      </c>
      <c r="B22" s="296" t="s">
        <v>977</v>
      </c>
      <c r="C22" s="297" t="s">
        <v>129</v>
      </c>
      <c r="D22" s="738"/>
      <c r="E22" s="738">
        <v>500</v>
      </c>
      <c r="F22" s="763">
        <f t="shared" si="2"/>
        <v>500</v>
      </c>
      <c r="G22" s="775" t="e">
        <f>IF(SUMIF(#REF!,B22,#REF!)&lt;&gt;0,$G$5,0)</f>
        <v>#REF!</v>
      </c>
    </row>
    <row r="23" spans="1:7" s="298" customFormat="1" ht="18" hidden="1" customHeight="1">
      <c r="A23" s="780" t="e">
        <f t="shared" si="0"/>
        <v>#REF!</v>
      </c>
      <c r="B23" s="296" t="s">
        <v>1620</v>
      </c>
      <c r="C23" s="297" t="s">
        <v>7</v>
      </c>
      <c r="D23" s="738"/>
      <c r="E23" s="738">
        <f>1086364-18182+54545+4545*42</f>
        <v>1313617</v>
      </c>
      <c r="F23" s="763">
        <f t="shared" si="2"/>
        <v>1313617</v>
      </c>
      <c r="G23" s="775" t="e">
        <f>IF(SUMIF(#REF!,B23,#REF!)&lt;&gt;0,$G$5,0)</f>
        <v>#REF!</v>
      </c>
    </row>
    <row r="24" spans="1:7" s="298" customFormat="1" ht="18" hidden="1" customHeight="1">
      <c r="A24" s="780" t="e">
        <f t="shared" si="0"/>
        <v>#REF!</v>
      </c>
      <c r="B24" s="296" t="s">
        <v>1591</v>
      </c>
      <c r="C24" s="297" t="s">
        <v>7</v>
      </c>
      <c r="D24" s="738"/>
      <c r="E24" s="738">
        <f>1127273*45/40-18182+54545+4545*42</f>
        <v>1495435.125</v>
      </c>
      <c r="F24" s="763">
        <f t="shared" si="2"/>
        <v>1495435.125</v>
      </c>
      <c r="G24" s="775" t="e">
        <f>IF(SUMIF(#REF!,B24,#REF!)&lt;&gt;0,$G$5,0)</f>
        <v>#REF!</v>
      </c>
    </row>
    <row r="25" spans="1:7" s="298" customFormat="1" ht="18" hidden="1" customHeight="1">
      <c r="A25" s="780" t="e">
        <f t="shared" si="0"/>
        <v>#REF!</v>
      </c>
      <c r="B25" s="296" t="s">
        <v>1643</v>
      </c>
      <c r="C25" s="297" t="s">
        <v>1644</v>
      </c>
      <c r="D25" s="738"/>
      <c r="E25" s="738"/>
      <c r="F25" s="763">
        <f t="shared" si="2"/>
        <v>0</v>
      </c>
      <c r="G25" s="775" t="e">
        <f>IF(SUMIF(#REF!,B25,#REF!)&lt;&gt;0,$G$5,0)</f>
        <v>#REF!</v>
      </c>
    </row>
    <row r="26" spans="1:7" s="298" customFormat="1" ht="18" hidden="1" customHeight="1">
      <c r="A26" s="780" t="e">
        <f t="shared" si="0"/>
        <v>#REF!</v>
      </c>
      <c r="B26" s="296" t="s">
        <v>919</v>
      </c>
      <c r="C26" s="297" t="s">
        <v>59</v>
      </c>
      <c r="D26" s="738"/>
      <c r="E26" s="738">
        <v>714000</v>
      </c>
      <c r="F26" s="763">
        <f t="shared" si="2"/>
        <v>714000</v>
      </c>
      <c r="G26" s="775" t="e">
        <f>IF(SUMIF(#REF!,B26,#REF!)&lt;&gt;0,$G$5,0)</f>
        <v>#REF!</v>
      </c>
    </row>
    <row r="27" spans="1:7" s="298" customFormat="1" ht="18" hidden="1" customHeight="1">
      <c r="A27" s="780" t="e">
        <f t="shared" si="0"/>
        <v>#REF!</v>
      </c>
      <c r="B27" s="296" t="s">
        <v>1609</v>
      </c>
      <c r="C27" s="297" t="s">
        <v>82</v>
      </c>
      <c r="D27" s="738"/>
      <c r="E27" s="738">
        <v>220000</v>
      </c>
      <c r="F27" s="763">
        <f t="shared" si="2"/>
        <v>220000</v>
      </c>
      <c r="G27" s="775" t="e">
        <f>IF(SUMIF(#REF!,B27,#REF!)&lt;&gt;0,$G$5,0)</f>
        <v>#REF!</v>
      </c>
    </row>
    <row r="28" spans="1:7" s="298" customFormat="1" ht="18" hidden="1" customHeight="1">
      <c r="A28" s="780" t="e">
        <f t="shared" si="0"/>
        <v>#REF!</v>
      </c>
      <c r="B28" s="296" t="s">
        <v>1624</v>
      </c>
      <c r="C28" s="297" t="s">
        <v>7</v>
      </c>
      <c r="D28" s="738"/>
      <c r="E28" s="738">
        <f>SSVL!R6</f>
        <v>163636</v>
      </c>
      <c r="F28" s="763">
        <f t="shared" si="2"/>
        <v>163636</v>
      </c>
      <c r="G28" s="775" t="e">
        <f>IF(SUMIF(#REF!,B28,#REF!)&lt;&gt;0,$G$5,0)</f>
        <v>#REF!</v>
      </c>
    </row>
    <row r="29" spans="1:7" s="298" customFormat="1" ht="18" customHeight="1">
      <c r="A29" s="780" t="e">
        <f t="shared" si="0"/>
        <v>#REF!</v>
      </c>
      <c r="B29" s="296" t="s">
        <v>585</v>
      </c>
      <c r="C29" s="297" t="s">
        <v>7</v>
      </c>
      <c r="D29" s="738"/>
      <c r="E29" s="738">
        <f>SSVL!R5</f>
        <v>177272</v>
      </c>
      <c r="F29" s="763">
        <f t="shared" si="2"/>
        <v>177272</v>
      </c>
      <c r="G29" s="775" t="e">
        <f>IF(SUMIF(#REF!,B29,#REF!)&lt;&gt;0,$G$5,0)</f>
        <v>#REF!</v>
      </c>
    </row>
    <row r="30" spans="1:7" s="298" customFormat="1" ht="18" customHeight="1">
      <c r="A30" s="780" t="e">
        <f t="shared" si="0"/>
        <v>#REF!</v>
      </c>
      <c r="B30" s="296" t="s">
        <v>961</v>
      </c>
      <c r="C30" s="297" t="s">
        <v>7</v>
      </c>
      <c r="D30" s="738"/>
      <c r="E30" s="738">
        <f>SSVL!R7</f>
        <v>145454</v>
      </c>
      <c r="F30" s="763">
        <f t="shared" si="2"/>
        <v>145454</v>
      </c>
      <c r="G30" s="775" t="e">
        <f>IF(SUMIF(#REF!,B30,#REF!)&lt;&gt;0,$G$5,0)</f>
        <v>#REF!</v>
      </c>
    </row>
    <row r="31" spans="1:7" s="298" customFormat="1" ht="18" hidden="1" customHeight="1">
      <c r="A31" s="780" t="e">
        <f t="shared" si="0"/>
        <v>#REF!</v>
      </c>
      <c r="B31" s="296" t="s">
        <v>995</v>
      </c>
      <c r="C31" s="297" t="s">
        <v>996</v>
      </c>
      <c r="D31" s="738"/>
      <c r="E31" s="738">
        <v>500000</v>
      </c>
      <c r="F31" s="763">
        <f t="shared" si="2"/>
        <v>500000</v>
      </c>
      <c r="G31" s="775" t="e">
        <f>IF(SUMIF(#REF!,B31,#REF!)&lt;&gt;0,$G$5,0)</f>
        <v>#REF!</v>
      </c>
    </row>
    <row r="32" spans="1:7" s="298" customFormat="1" ht="18" hidden="1" customHeight="1">
      <c r="A32" s="780" t="e">
        <f t="shared" si="0"/>
        <v>#REF!</v>
      </c>
      <c r="B32" s="296" t="s">
        <v>989</v>
      </c>
      <c r="C32" s="297" t="s">
        <v>576</v>
      </c>
      <c r="D32" s="738"/>
      <c r="E32" s="738">
        <v>20000</v>
      </c>
      <c r="F32" s="763">
        <f t="shared" si="2"/>
        <v>20000</v>
      </c>
      <c r="G32" s="775" t="e">
        <f>IF(SUMIF(#REF!,B32,#REF!)&lt;&gt;0,$G$5,0)</f>
        <v>#REF!</v>
      </c>
    </row>
    <row r="33" spans="1:8" s="298" customFormat="1" ht="18" hidden="1" customHeight="1">
      <c r="A33" s="780" t="e">
        <f t="shared" si="0"/>
        <v>#REF!</v>
      </c>
      <c r="B33" s="296" t="s">
        <v>1599</v>
      </c>
      <c r="C33" s="297" t="s">
        <v>82</v>
      </c>
      <c r="D33" s="738"/>
      <c r="E33" s="738">
        <v>5000</v>
      </c>
      <c r="F33" s="763">
        <f t="shared" si="2"/>
        <v>5000</v>
      </c>
      <c r="G33" s="775" t="e">
        <f>IF(SUMIF(#REF!,B33,#REF!)&lt;&gt;0,$G$5,0)</f>
        <v>#REF!</v>
      </c>
    </row>
    <row r="34" spans="1:8" s="298" customFormat="1" ht="18" hidden="1" customHeight="1">
      <c r="A34" s="780" t="e">
        <f t="shared" si="0"/>
        <v>#REF!</v>
      </c>
      <c r="B34" s="296" t="s">
        <v>1695</v>
      </c>
      <c r="C34" s="297" t="s">
        <v>59</v>
      </c>
      <c r="D34" s="738"/>
      <c r="E34" s="738">
        <f>25900000/1.1</f>
        <v>23545454.545454543</v>
      </c>
      <c r="F34" s="763">
        <f t="shared" si="2"/>
        <v>23545454.545454543</v>
      </c>
      <c r="G34" s="775" t="e">
        <f>IF(SUMIF(#REF!,B34,#REF!)&lt;&gt;0,$G$5,0)</f>
        <v>#REF!</v>
      </c>
      <c r="H34" s="298">
        <f>H5</f>
        <v>2</v>
      </c>
    </row>
    <row r="35" spans="1:8" s="298" customFormat="1" ht="18" hidden="1" customHeight="1">
      <c r="A35" s="780" t="e">
        <f t="shared" si="0"/>
        <v>#REF!</v>
      </c>
      <c r="B35" s="296" t="s">
        <v>1619</v>
      </c>
      <c r="C35" s="297" t="s">
        <v>7</v>
      </c>
      <c r="D35" s="738"/>
      <c r="E35" s="738">
        <v>136364</v>
      </c>
      <c r="F35" s="763">
        <f t="shared" si="2"/>
        <v>136364</v>
      </c>
      <c r="G35" s="775" t="e">
        <f>IF(SUMIF(#REF!,B35,#REF!)&lt;&gt;0,$G$5,0)</f>
        <v>#REF!</v>
      </c>
    </row>
    <row r="36" spans="1:8" s="298" customFormat="1" ht="18" customHeight="1">
      <c r="A36" s="780" t="e">
        <f t="shared" si="0"/>
        <v>#REF!</v>
      </c>
      <c r="B36" s="296" t="s">
        <v>27</v>
      </c>
      <c r="C36" s="297" t="s">
        <v>7</v>
      </c>
      <c r="D36" s="738"/>
      <c r="E36" s="738">
        <v>136364</v>
      </c>
      <c r="F36" s="763">
        <f t="shared" si="2"/>
        <v>136364</v>
      </c>
      <c r="G36" s="775" t="e">
        <f>IF(SUMIF(#REF!,B36,#REF!)&lt;&gt;0,$G$5,0)</f>
        <v>#REF!</v>
      </c>
    </row>
    <row r="37" spans="1:8" s="298" customFormat="1" ht="18" hidden="1" customHeight="1">
      <c r="A37" s="780" t="e">
        <f t="shared" si="0"/>
        <v>#REF!</v>
      </c>
      <c r="B37" s="296" t="s">
        <v>918</v>
      </c>
      <c r="C37" s="297" t="s">
        <v>7</v>
      </c>
      <c r="D37" s="738"/>
      <c r="E37" s="738">
        <v>136364</v>
      </c>
      <c r="F37" s="763">
        <f t="shared" si="2"/>
        <v>136364</v>
      </c>
      <c r="G37" s="775" t="e">
        <f>IF(SUMIF(#REF!,B37,#REF!)&lt;&gt;0,$G$5,0)</f>
        <v>#REF!</v>
      </c>
    </row>
    <row r="38" spans="1:8" s="298" customFormat="1" ht="18" hidden="1" customHeight="1">
      <c r="A38" s="780" t="e">
        <f t="shared" si="0"/>
        <v>#REF!</v>
      </c>
      <c r="B38" s="296" t="s">
        <v>1286</v>
      </c>
      <c r="C38" s="297" t="s">
        <v>7</v>
      </c>
      <c r="D38" s="738"/>
      <c r="E38" s="738">
        <v>136364</v>
      </c>
      <c r="F38" s="763">
        <f t="shared" si="2"/>
        <v>136364</v>
      </c>
      <c r="G38" s="775" t="e">
        <f>IF(SUMIF(#REF!,B38,#REF!)&lt;&gt;0,$G$5,0)</f>
        <v>#REF!</v>
      </c>
      <c r="H38" s="776"/>
    </row>
    <row r="39" spans="1:8" s="298" customFormat="1" ht="18" hidden="1" customHeight="1">
      <c r="A39" s="780" t="e">
        <f t="shared" si="0"/>
        <v>#REF!</v>
      </c>
      <c r="B39" s="296" t="s">
        <v>935</v>
      </c>
      <c r="C39" s="297" t="s">
        <v>7</v>
      </c>
      <c r="D39" s="738"/>
      <c r="E39" s="738">
        <v>136364</v>
      </c>
      <c r="F39" s="763">
        <f t="shared" si="2"/>
        <v>136364</v>
      </c>
      <c r="G39" s="775" t="e">
        <f>IF(SUMIF(#REF!,B39,#REF!)&lt;&gt;0,$G$5,0)</f>
        <v>#REF!</v>
      </c>
    </row>
    <row r="40" spans="1:8" s="298" customFormat="1" ht="18" hidden="1" customHeight="1">
      <c r="A40" s="780" t="e">
        <f t="shared" si="0"/>
        <v>#REF!</v>
      </c>
      <c r="B40" s="296" t="s">
        <v>929</v>
      </c>
      <c r="C40" s="297" t="s">
        <v>7</v>
      </c>
      <c r="D40" s="738"/>
      <c r="E40" s="738">
        <v>136364</v>
      </c>
      <c r="F40" s="763">
        <f t="shared" si="2"/>
        <v>136364</v>
      </c>
      <c r="G40" s="775" t="e">
        <f>IF(SUMIF(#REF!,B40,#REF!)&lt;&gt;0,$G$5,0)</f>
        <v>#REF!</v>
      </c>
    </row>
    <row r="41" spans="1:8" s="298" customFormat="1" ht="18" hidden="1" customHeight="1">
      <c r="A41" s="780" t="e">
        <f t="shared" si="0"/>
        <v>#REF!</v>
      </c>
      <c r="B41" s="296" t="s">
        <v>1622</v>
      </c>
      <c r="C41" s="297" t="s">
        <v>7</v>
      </c>
      <c r="D41" s="738"/>
      <c r="E41" s="738">
        <v>136364</v>
      </c>
      <c r="F41" s="763">
        <f t="shared" si="2"/>
        <v>136364</v>
      </c>
      <c r="G41" s="775" t="e">
        <f>IF(SUMIF(#REF!,B41,#REF!)&lt;&gt;0,$G$5,0)</f>
        <v>#REF!</v>
      </c>
    </row>
    <row r="42" spans="1:8" s="298" customFormat="1" ht="18" customHeight="1">
      <c r="A42" s="780" t="e">
        <f t="shared" si="0"/>
        <v>#REF!</v>
      </c>
      <c r="B42" s="296" t="s">
        <v>552</v>
      </c>
      <c r="C42" s="297" t="s">
        <v>7</v>
      </c>
      <c r="D42" s="738"/>
      <c r="E42" s="738">
        <f>SSVL!R19</f>
        <v>136364</v>
      </c>
      <c r="F42" s="763">
        <f t="shared" si="2"/>
        <v>136364</v>
      </c>
      <c r="G42" s="775" t="e">
        <f>IF(SUMIF(#REF!,B42,#REF!)&lt;&gt;0,$G$5,0)</f>
        <v>#REF!</v>
      </c>
    </row>
    <row r="43" spans="1:8" s="298" customFormat="1" ht="18" hidden="1" customHeight="1">
      <c r="A43" s="780" t="e">
        <f t="shared" si="0"/>
        <v>#REF!</v>
      </c>
      <c r="B43" s="296" t="s">
        <v>1636</v>
      </c>
      <c r="C43" s="297" t="s">
        <v>7</v>
      </c>
      <c r="D43" s="738"/>
      <c r="E43" s="738">
        <f>SSVL!R19</f>
        <v>136364</v>
      </c>
      <c r="F43" s="763">
        <f t="shared" si="2"/>
        <v>136364</v>
      </c>
      <c r="G43" s="775" t="e">
        <f>IF(SUMIF(#REF!,B43,#REF!)&lt;&gt;0,$G$5,0)</f>
        <v>#REF!</v>
      </c>
    </row>
    <row r="44" spans="1:8" s="298" customFormat="1" ht="18" hidden="1" customHeight="1">
      <c r="A44" s="780" t="e">
        <f t="shared" si="0"/>
        <v>#REF!</v>
      </c>
      <c r="B44" s="296" t="s">
        <v>988</v>
      </c>
      <c r="C44" s="297" t="s">
        <v>129</v>
      </c>
      <c r="D44" s="738"/>
      <c r="E44" s="738">
        <f>45455/4</f>
        <v>11363.75</v>
      </c>
      <c r="F44" s="763">
        <f t="shared" si="2"/>
        <v>11363.75</v>
      </c>
      <c r="G44" s="775" t="e">
        <f>IF(SUMIF(#REF!,B44,#REF!)&lt;&gt;0,$G$5,0)</f>
        <v>#REF!</v>
      </c>
    </row>
    <row r="45" spans="1:8" s="298" customFormat="1" ht="18" hidden="1" customHeight="1">
      <c r="A45" s="780" t="e">
        <f t="shared" si="0"/>
        <v>#REF!</v>
      </c>
      <c r="B45" s="296" t="s">
        <v>998</v>
      </c>
      <c r="C45" s="297" t="s">
        <v>129</v>
      </c>
      <c r="D45" s="738"/>
      <c r="E45" s="738">
        <f>45455/4</f>
        <v>11363.75</v>
      </c>
      <c r="F45" s="763">
        <f t="shared" si="2"/>
        <v>11363.75</v>
      </c>
      <c r="G45" s="775" t="e">
        <f>IF(SUMIF(#REF!,B45,#REF!)&lt;&gt;0,$G$5,0)</f>
        <v>#REF!</v>
      </c>
    </row>
    <row r="46" spans="1:8" s="298" customFormat="1" ht="18" hidden="1" customHeight="1">
      <c r="A46" s="780" t="e">
        <f t="shared" si="0"/>
        <v>#REF!</v>
      </c>
      <c r="B46" s="824" t="s">
        <v>1692</v>
      </c>
      <c r="C46" s="825" t="s">
        <v>82</v>
      </c>
      <c r="D46" s="826"/>
      <c r="E46" s="826">
        <v>34091</v>
      </c>
      <c r="F46" s="763">
        <f t="shared" si="2"/>
        <v>34091</v>
      </c>
      <c r="G46" s="775" t="e">
        <f>IF(SUMIF(#REF!,B46,#REF!)&lt;&gt;0,$G$5,0)</f>
        <v>#REF!</v>
      </c>
    </row>
    <row r="47" spans="1:8" s="298" customFormat="1" ht="18" hidden="1" customHeight="1">
      <c r="A47" s="780" t="e">
        <f t="shared" si="0"/>
        <v>#REF!</v>
      </c>
      <c r="B47" s="824" t="s">
        <v>1693</v>
      </c>
      <c r="C47" s="825" t="s">
        <v>82</v>
      </c>
      <c r="D47" s="826"/>
      <c r="E47" s="826">
        <v>68183</v>
      </c>
      <c r="F47" s="763">
        <f t="shared" si="2"/>
        <v>68183</v>
      </c>
      <c r="G47" s="775" t="e">
        <f>IF(SUMIF(#REF!,B47,#REF!)&lt;&gt;0,$G$5,0)</f>
        <v>#REF!</v>
      </c>
    </row>
    <row r="48" spans="1:8" s="298" customFormat="1" ht="18" hidden="1" customHeight="1">
      <c r="A48" s="780" t="e">
        <f t="shared" si="0"/>
        <v>#REF!</v>
      </c>
      <c r="B48" s="296" t="s">
        <v>1633</v>
      </c>
      <c r="C48" s="297" t="s">
        <v>82</v>
      </c>
      <c r="D48" s="738"/>
      <c r="E48" s="786">
        <v>20454</v>
      </c>
      <c r="F48" s="763">
        <f t="shared" si="2"/>
        <v>20454</v>
      </c>
      <c r="G48" s="775" t="e">
        <f>IF(SUMIF(#REF!,B48,#REF!)&lt;&gt;0,$G$5,0)</f>
        <v>#REF!</v>
      </c>
    </row>
    <row r="49" spans="1:7" s="298" customFormat="1" ht="18" hidden="1" customHeight="1">
      <c r="A49" s="780" t="e">
        <f t="shared" si="0"/>
        <v>#REF!</v>
      </c>
      <c r="B49" s="296" t="s">
        <v>1632</v>
      </c>
      <c r="C49" s="297" t="s">
        <v>82</v>
      </c>
      <c r="D49" s="738"/>
      <c r="E49" s="786">
        <v>132273</v>
      </c>
      <c r="F49" s="763">
        <f t="shared" si="2"/>
        <v>132273</v>
      </c>
      <c r="G49" s="775" t="e">
        <f>IF(SUMIF(#REF!,B49,#REF!)&lt;&gt;0,$G$5,0)</f>
        <v>#REF!</v>
      </c>
    </row>
    <row r="50" spans="1:7" s="298" customFormat="1" ht="18" hidden="1" customHeight="1">
      <c r="A50" s="780" t="e">
        <f t="shared" si="0"/>
        <v>#REF!</v>
      </c>
      <c r="B50" s="296" t="s">
        <v>1600</v>
      </c>
      <c r="C50" s="297" t="s">
        <v>82</v>
      </c>
      <c r="D50" s="738"/>
      <c r="E50" s="738"/>
      <c r="F50" s="763">
        <f t="shared" si="2"/>
        <v>0</v>
      </c>
      <c r="G50" s="775" t="e">
        <f>IF(SUMIF(#REF!,B50,#REF!)&lt;&gt;0,$G$5,0)</f>
        <v>#REF!</v>
      </c>
    </row>
    <row r="51" spans="1:7" s="298" customFormat="1" ht="18" customHeight="1">
      <c r="A51" s="780" t="e">
        <f t="shared" si="0"/>
        <v>#REF!</v>
      </c>
      <c r="B51" s="296" t="s">
        <v>987</v>
      </c>
      <c r="C51" s="297" t="s">
        <v>59</v>
      </c>
      <c r="D51" s="738"/>
      <c r="E51" s="738">
        <v>22000000</v>
      </c>
      <c r="F51" s="763">
        <f t="shared" si="2"/>
        <v>22000000</v>
      </c>
      <c r="G51" s="775" t="e">
        <f>IF(SUMIF(#REF!,B51,#REF!)&lt;&gt;0,$G$5,0)</f>
        <v>#REF!</v>
      </c>
    </row>
    <row r="52" spans="1:7" s="298" customFormat="1" ht="18" hidden="1" customHeight="1">
      <c r="A52" s="780" t="e">
        <f t="shared" si="0"/>
        <v>#REF!</v>
      </c>
      <c r="B52" s="296" t="s">
        <v>952</v>
      </c>
      <c r="C52" s="297" t="s">
        <v>577</v>
      </c>
      <c r="D52" s="738"/>
      <c r="E52" s="738">
        <v>975300</v>
      </c>
      <c r="F52" s="763">
        <f t="shared" si="2"/>
        <v>975300</v>
      </c>
      <c r="G52" s="775" t="e">
        <f>IF(SUMIF(#REF!,B52,#REF!)&lt;&gt;0,$G$5,0)</f>
        <v>#REF!</v>
      </c>
    </row>
    <row r="53" spans="1:7" s="298" customFormat="1" ht="18" hidden="1" customHeight="1">
      <c r="A53" s="780" t="e">
        <f t="shared" si="0"/>
        <v>#REF!</v>
      </c>
      <c r="B53" s="296" t="s">
        <v>951</v>
      </c>
      <c r="C53" s="297" t="s">
        <v>577</v>
      </c>
      <c r="D53" s="738"/>
      <c r="E53" s="738">
        <f>975300/1.66*1.975</f>
        <v>1160371.9879518074</v>
      </c>
      <c r="F53" s="763">
        <f t="shared" si="2"/>
        <v>1160371.9879518074</v>
      </c>
      <c r="G53" s="775" t="e">
        <f>IF(SUMIF(#REF!,B53,#REF!)&lt;&gt;0,$G$5,0)</f>
        <v>#REF!</v>
      </c>
    </row>
    <row r="54" spans="1:7" s="298" customFormat="1" ht="18" hidden="1" customHeight="1">
      <c r="A54" s="780" t="e">
        <f t="shared" si="0"/>
        <v>#REF!</v>
      </c>
      <c r="B54" s="296" t="s">
        <v>949</v>
      </c>
      <c r="C54" s="297" t="s">
        <v>577</v>
      </c>
      <c r="D54" s="738"/>
      <c r="E54" s="738">
        <f>1203500/2.05*2.25</f>
        <v>1320914.6341463416</v>
      </c>
      <c r="F54" s="763">
        <f t="shared" si="2"/>
        <v>1320914.6341463416</v>
      </c>
      <c r="G54" s="775" t="e">
        <f>IF(SUMIF(#REF!,B54,#REF!)&lt;&gt;0,$G$5,0)</f>
        <v>#REF!</v>
      </c>
    </row>
    <row r="55" spans="1:7" s="298" customFormat="1" ht="18" hidden="1" customHeight="1">
      <c r="A55" s="780" t="e">
        <f t="shared" si="0"/>
        <v>#REF!</v>
      </c>
      <c r="B55" s="296" t="s">
        <v>1628</v>
      </c>
      <c r="C55" s="297" t="s">
        <v>129</v>
      </c>
      <c r="D55" s="738"/>
      <c r="E55" s="738">
        <v>9447</v>
      </c>
      <c r="F55" s="763">
        <f t="shared" si="2"/>
        <v>9447</v>
      </c>
      <c r="G55" s="775" t="e">
        <f>IF(SUMIF(#REF!,B55,#REF!)&lt;&gt;0,$G$5,0)</f>
        <v>#REF!</v>
      </c>
    </row>
    <row r="56" spans="1:7" s="298" customFormat="1" ht="18" customHeight="1">
      <c r="A56" s="780" t="e">
        <f t="shared" si="0"/>
        <v>#REF!</v>
      </c>
      <c r="B56" s="296" t="s">
        <v>65</v>
      </c>
      <c r="C56" s="297" t="s">
        <v>59</v>
      </c>
      <c r="D56" s="738"/>
      <c r="E56" s="738">
        <v>17273000</v>
      </c>
      <c r="F56" s="763">
        <f t="shared" si="2"/>
        <v>17273000</v>
      </c>
      <c r="G56" s="775" t="e">
        <f>IF(SUMIF(#REF!,B56,#REF!)&lt;&gt;0,$G$5,0)</f>
        <v>#REF!</v>
      </c>
    </row>
    <row r="57" spans="1:7" s="298" customFormat="1" ht="18" hidden="1" customHeight="1">
      <c r="A57" s="780" t="e">
        <f t="shared" si="0"/>
        <v>#REF!</v>
      </c>
      <c r="B57" s="296" t="s">
        <v>1629</v>
      </c>
      <c r="C57" s="297" t="s">
        <v>129</v>
      </c>
      <c r="D57" s="738"/>
      <c r="E57" s="738">
        <v>5270</v>
      </c>
      <c r="F57" s="763">
        <f t="shared" si="2"/>
        <v>5270</v>
      </c>
      <c r="G57" s="775" t="e">
        <f>IF(SUMIF(#REF!,B57,#REF!)&lt;&gt;0,$G$5,0)</f>
        <v>#REF!</v>
      </c>
    </row>
    <row r="58" spans="1:7" s="298" customFormat="1" ht="18" hidden="1" customHeight="1">
      <c r="A58" s="780" t="e">
        <f t="shared" si="0"/>
        <v>#REF!</v>
      </c>
      <c r="B58" s="296" t="s">
        <v>924</v>
      </c>
      <c r="C58" s="297" t="s">
        <v>922</v>
      </c>
      <c r="D58" s="738"/>
      <c r="E58" s="785">
        <v>42000</v>
      </c>
      <c r="F58" s="763">
        <f t="shared" si="2"/>
        <v>42000</v>
      </c>
      <c r="G58" s="775" t="e">
        <f>IF(SUMIF(#REF!,B58,#REF!)&lt;&gt;0,$G$5,0)</f>
        <v>#REF!</v>
      </c>
    </row>
    <row r="59" spans="1:7" s="298" customFormat="1" ht="18" hidden="1" customHeight="1">
      <c r="A59" s="780" t="e">
        <f t="shared" si="0"/>
        <v>#REF!</v>
      </c>
      <c r="B59" s="296" t="s">
        <v>921</v>
      </c>
      <c r="C59" s="297" t="s">
        <v>922</v>
      </c>
      <c r="D59" s="738"/>
      <c r="E59" s="785">
        <f>23630/1.1</f>
        <v>21481.81818181818</v>
      </c>
      <c r="F59" s="763">
        <f t="shared" si="2"/>
        <v>21481.81818181818</v>
      </c>
      <c r="G59" s="775" t="e">
        <f>IF(SUMIF(#REF!,B59,#REF!)&lt;&gt;0,$G$5,0)</f>
        <v>#REF!</v>
      </c>
    </row>
    <row r="60" spans="1:7" s="298" customFormat="1" ht="18" hidden="1" customHeight="1">
      <c r="A60" s="780" t="e">
        <f t="shared" si="0"/>
        <v>#REF!</v>
      </c>
      <c r="B60" s="296" t="s">
        <v>1640</v>
      </c>
      <c r="C60" s="297" t="s">
        <v>59</v>
      </c>
      <c r="D60" s="738"/>
      <c r="E60" s="785">
        <f>23910000/1.1/0.87</f>
        <v>24984326.018808775</v>
      </c>
      <c r="F60" s="763">
        <f t="shared" si="2"/>
        <v>24984326.018808775</v>
      </c>
      <c r="G60" s="775" t="e">
        <f>IF(SUMIF(#REF!,B60,#REF!)&lt;&gt;0,$G$5,0)</f>
        <v>#REF!</v>
      </c>
    </row>
    <row r="61" spans="1:7" s="298" customFormat="1" ht="18" hidden="1" customHeight="1">
      <c r="A61" s="780" t="e">
        <f t="shared" si="0"/>
        <v>#REF!</v>
      </c>
      <c r="B61" s="296" t="s">
        <v>923</v>
      </c>
      <c r="C61" s="297" t="s">
        <v>922</v>
      </c>
      <c r="D61" s="738"/>
      <c r="E61" s="785">
        <f>20420/1.1*0.87</f>
        <v>16150.363636363634</v>
      </c>
      <c r="F61" s="763">
        <f t="shared" si="2"/>
        <v>16150.363636363634</v>
      </c>
      <c r="G61" s="775" t="e">
        <f>IF(SUMIF(#REF!,B61,#REF!)&lt;&gt;0,$G$5,0)</f>
        <v>#REF!</v>
      </c>
    </row>
    <row r="62" spans="1:7" s="298" customFormat="1" ht="18" hidden="1" customHeight="1">
      <c r="A62" s="780" t="e">
        <f t="shared" si="0"/>
        <v>#REF!</v>
      </c>
      <c r="B62" s="296" t="s">
        <v>958</v>
      </c>
      <c r="C62" s="297" t="s">
        <v>59</v>
      </c>
      <c r="D62" s="738"/>
      <c r="E62" s="785">
        <f>400000000/1.1/12</f>
        <v>30303030.303030301</v>
      </c>
      <c r="F62" s="763">
        <f t="shared" si="2"/>
        <v>30303030.303030301</v>
      </c>
      <c r="G62" s="775" t="e">
        <f>IF(SUMIF(#REF!,B62,#REF!)&lt;&gt;0,$G$5,0)</f>
        <v>#REF!</v>
      </c>
    </row>
    <row r="63" spans="1:7" s="298" customFormat="1" ht="18" hidden="1" customHeight="1">
      <c r="A63" s="780" t="e">
        <f t="shared" si="0"/>
        <v>#REF!</v>
      </c>
      <c r="B63" s="296" t="s">
        <v>973</v>
      </c>
      <c r="C63" s="297" t="s">
        <v>82</v>
      </c>
      <c r="D63" s="738"/>
      <c r="E63" s="738">
        <v>93000</v>
      </c>
      <c r="F63" s="763">
        <f t="shared" si="2"/>
        <v>93000</v>
      </c>
      <c r="G63" s="775" t="e">
        <f>IF(SUMIF(#REF!,B63,#REF!)&lt;&gt;0,$G$5,0)</f>
        <v>#REF!</v>
      </c>
    </row>
    <row r="64" spans="1:7" s="298" customFormat="1" ht="18" hidden="1" customHeight="1">
      <c r="A64" s="780" t="e">
        <f t="shared" si="0"/>
        <v>#REF!</v>
      </c>
      <c r="B64" s="296" t="s">
        <v>981</v>
      </c>
      <c r="C64" s="297" t="s">
        <v>82</v>
      </c>
      <c r="D64" s="738"/>
      <c r="E64" s="738">
        <v>136000</v>
      </c>
      <c r="F64" s="763">
        <f t="shared" si="2"/>
        <v>136000</v>
      </c>
      <c r="G64" s="775" t="e">
        <f>IF(SUMIF(#REF!,B64,#REF!)&lt;&gt;0,$G$5,0)</f>
        <v>#REF!</v>
      </c>
    </row>
    <row r="65" spans="1:8" s="298" customFormat="1" ht="18" hidden="1" customHeight="1">
      <c r="A65" s="780" t="e">
        <f t="shared" si="0"/>
        <v>#REF!</v>
      </c>
      <c r="B65" s="296" t="s">
        <v>970</v>
      </c>
      <c r="C65" s="297" t="s">
        <v>82</v>
      </c>
      <c r="D65" s="738"/>
      <c r="E65" s="785">
        <v>30000</v>
      </c>
      <c r="F65" s="763">
        <f t="shared" si="2"/>
        <v>30000</v>
      </c>
      <c r="G65" s="775" t="e">
        <f>IF(SUMIF(#REF!,B65,#REF!)&lt;&gt;0,$G$5,0)</f>
        <v>#REF!</v>
      </c>
    </row>
    <row r="66" spans="1:8" s="298" customFormat="1" ht="18" hidden="1" customHeight="1">
      <c r="A66" s="780" t="e">
        <f t="shared" si="0"/>
        <v>#REF!</v>
      </c>
      <c r="B66" s="296" t="s">
        <v>972</v>
      </c>
      <c r="C66" s="297" t="s">
        <v>82</v>
      </c>
      <c r="D66" s="738"/>
      <c r="E66" s="785">
        <v>49000</v>
      </c>
      <c r="F66" s="763">
        <f t="shared" si="2"/>
        <v>49000</v>
      </c>
      <c r="G66" s="775" t="e">
        <f>IF(SUMIF(#REF!,B66,#REF!)&lt;&gt;0,$G$5,0)</f>
        <v>#REF!</v>
      </c>
    </row>
    <row r="67" spans="1:8" s="298" customFormat="1" ht="18" hidden="1" customHeight="1">
      <c r="A67" s="780" t="e">
        <f t="shared" si="0"/>
        <v>#REF!</v>
      </c>
      <c r="B67" s="296" t="s">
        <v>44</v>
      </c>
      <c r="C67" s="297" t="s">
        <v>45</v>
      </c>
      <c r="D67" s="738"/>
      <c r="E67" s="785">
        <f>6000/1.1</f>
        <v>5454.545454545454</v>
      </c>
      <c r="F67" s="763">
        <f t="shared" si="2"/>
        <v>5454.545454545454</v>
      </c>
      <c r="G67" s="775" t="e">
        <f>IF(SUMIF(#REF!,B67,#REF!)&lt;&gt;0,$G$5,0)</f>
        <v>#REF!</v>
      </c>
    </row>
    <row r="68" spans="1:8" s="298" customFormat="1" ht="18" hidden="1" customHeight="1">
      <c r="A68" s="780" t="e">
        <f t="shared" si="0"/>
        <v>#REF!</v>
      </c>
      <c r="B68" s="296" t="s">
        <v>1002</v>
      </c>
      <c r="C68" s="297" t="s">
        <v>45</v>
      </c>
      <c r="D68" s="738"/>
      <c r="E68" s="785">
        <v>72000</v>
      </c>
      <c r="F68" s="763">
        <f t="shared" si="2"/>
        <v>72000</v>
      </c>
      <c r="G68" s="775" t="e">
        <f>IF(SUMIF(#REF!,B68,#REF!)&lt;&gt;0,$G$5,0)</f>
        <v>#REF!</v>
      </c>
    </row>
    <row r="69" spans="1:8" s="298" customFormat="1" ht="18" hidden="1" customHeight="1">
      <c r="A69" s="780" t="e">
        <f t="shared" si="0"/>
        <v>#REF!</v>
      </c>
      <c r="B69" s="296" t="s">
        <v>1638</v>
      </c>
      <c r="C69" s="297" t="s">
        <v>7</v>
      </c>
      <c r="D69" s="738"/>
      <c r="E69" s="738">
        <v>10000000</v>
      </c>
      <c r="F69" s="763">
        <f t="shared" si="2"/>
        <v>10000000</v>
      </c>
      <c r="G69" s="775" t="e">
        <f>IF(SUMIF(#REF!,B69,#REF!)&lt;&gt;0,$G$5,0)</f>
        <v>#REF!</v>
      </c>
    </row>
    <row r="70" spans="1:8" s="298" customFormat="1" ht="18" hidden="1" customHeight="1">
      <c r="A70" s="780" t="e">
        <f t="shared" si="0"/>
        <v>#REF!</v>
      </c>
      <c r="B70" s="296" t="s">
        <v>1637</v>
      </c>
      <c r="C70" s="297" t="s">
        <v>7</v>
      </c>
      <c r="D70" s="738"/>
      <c r="E70" s="738">
        <v>10000000</v>
      </c>
      <c r="F70" s="763">
        <f t="shared" si="2"/>
        <v>10000000</v>
      </c>
      <c r="G70" s="775" t="e">
        <f>IF(SUMIF(#REF!,B70,#REF!)&lt;&gt;0,$G$5,0)</f>
        <v>#REF!</v>
      </c>
    </row>
    <row r="71" spans="1:8" s="298" customFormat="1" ht="18" hidden="1" customHeight="1">
      <c r="A71" s="780" t="e">
        <f t="shared" si="0"/>
        <v>#REF!</v>
      </c>
      <c r="B71" s="296" t="s">
        <v>990</v>
      </c>
      <c r="C71" s="297" t="s">
        <v>7</v>
      </c>
      <c r="D71" s="738"/>
      <c r="E71" s="738">
        <v>10000000</v>
      </c>
      <c r="F71" s="763">
        <f t="shared" si="2"/>
        <v>10000000</v>
      </c>
      <c r="G71" s="775" t="e">
        <f>IF(SUMIF(#REF!,B71,#REF!)&lt;&gt;0,$G$5,0)</f>
        <v>#REF!</v>
      </c>
    </row>
    <row r="72" spans="1:8" s="298" customFormat="1" ht="18" customHeight="1">
      <c r="A72" s="780" t="e">
        <f t="shared" si="0"/>
        <v>#REF!</v>
      </c>
      <c r="B72" s="296" t="s">
        <v>1818</v>
      </c>
      <c r="C72" s="297" t="s">
        <v>7</v>
      </c>
      <c r="D72" s="738"/>
      <c r="E72" s="738">
        <v>5454545</v>
      </c>
      <c r="F72" s="763">
        <f t="shared" ref="F72" si="3">E72+D72</f>
        <v>5454545</v>
      </c>
      <c r="G72" s="775" t="e">
        <f>IF(SUMIF(#REF!,B72,#REF!)&lt;&gt;0,$G$5,0)</f>
        <v>#REF!</v>
      </c>
    </row>
    <row r="73" spans="1:8" s="298" customFormat="1" ht="18" hidden="1" customHeight="1">
      <c r="A73" s="780" t="e">
        <f t="shared" si="0"/>
        <v>#REF!</v>
      </c>
      <c r="B73" s="296" t="s">
        <v>1782</v>
      </c>
      <c r="C73" s="297" t="s">
        <v>577</v>
      </c>
      <c r="D73" s="738"/>
      <c r="E73" s="738">
        <f>6000000/1.1</f>
        <v>5454545.4545454541</v>
      </c>
      <c r="F73" s="763">
        <f t="shared" si="2"/>
        <v>5454545.4545454541</v>
      </c>
      <c r="G73" s="775" t="e">
        <f>IF(SUMIF(#REF!,B73,#REF!)&lt;&gt;0,$G$5,0)</f>
        <v>#REF!</v>
      </c>
    </row>
    <row r="74" spans="1:8" s="298" customFormat="1" ht="18" hidden="1" customHeight="1">
      <c r="A74" s="780" t="e">
        <f t="shared" si="0"/>
        <v>#REF!</v>
      </c>
      <c r="B74" s="296" t="s">
        <v>1735</v>
      </c>
      <c r="C74" s="297" t="s">
        <v>607</v>
      </c>
      <c r="D74" s="738"/>
      <c r="E74" s="738">
        <f>420000/1.1</f>
        <v>381818.18181818177</v>
      </c>
      <c r="F74" s="763">
        <f t="shared" si="2"/>
        <v>381818.18181818177</v>
      </c>
      <c r="G74" s="775" t="e">
        <f>IF(SUMIF(#REF!,B74,#REF!)&lt;&gt;0,$G$5,0)</f>
        <v>#REF!</v>
      </c>
      <c r="H74" s="298">
        <f>H5</f>
        <v>2</v>
      </c>
    </row>
    <row r="75" spans="1:8" s="298" customFormat="1" ht="18" hidden="1" customHeight="1">
      <c r="A75" s="780" t="e">
        <f t="shared" ref="A75:A138" si="4">A74+G75</f>
        <v>#REF!</v>
      </c>
      <c r="B75" s="296" t="s">
        <v>1604</v>
      </c>
      <c r="C75" s="297" t="s">
        <v>607</v>
      </c>
      <c r="D75" s="738"/>
      <c r="E75" s="738">
        <v>6000000</v>
      </c>
      <c r="F75" s="763">
        <f t="shared" si="2"/>
        <v>6000000</v>
      </c>
      <c r="G75" s="775" t="e">
        <f>IF(SUMIF(#REF!,B75,#REF!)&lt;&gt;0,$G$5,0)</f>
        <v>#REF!</v>
      </c>
    </row>
    <row r="76" spans="1:8" s="298" customFormat="1" ht="18" hidden="1" customHeight="1">
      <c r="A76" s="780" t="e">
        <f t="shared" si="4"/>
        <v>#REF!</v>
      </c>
      <c r="B76" s="296" t="s">
        <v>1610</v>
      </c>
      <c r="C76" s="297" t="s">
        <v>59</v>
      </c>
      <c r="D76" s="738"/>
      <c r="E76" s="738">
        <v>52000000</v>
      </c>
      <c r="F76" s="763">
        <f t="shared" si="2"/>
        <v>52000000</v>
      </c>
      <c r="G76" s="775" t="e">
        <f>IF(SUMIF(#REF!,B76,#REF!)&lt;&gt;0,$G$5,0)</f>
        <v>#REF!</v>
      </c>
    </row>
    <row r="77" spans="1:8" s="298" customFormat="1" ht="18" hidden="1" customHeight="1">
      <c r="A77" s="780" t="e">
        <f t="shared" si="4"/>
        <v>#REF!</v>
      </c>
      <c r="B77" s="296" t="s">
        <v>986</v>
      </c>
      <c r="C77" s="297" t="s">
        <v>59</v>
      </c>
      <c r="D77" s="738"/>
      <c r="E77" s="785">
        <v>265000000</v>
      </c>
      <c r="F77" s="763">
        <f t="shared" si="2"/>
        <v>265000000</v>
      </c>
      <c r="G77" s="775" t="e">
        <f>IF(SUMIF(#REF!,B77,#REF!)&lt;&gt;0,$G$5,0)</f>
        <v>#REF!</v>
      </c>
    </row>
    <row r="78" spans="1:8" s="298" customFormat="1" ht="18" hidden="1" customHeight="1">
      <c r="A78" s="780" t="e">
        <f t="shared" si="4"/>
        <v>#REF!</v>
      </c>
      <c r="B78" s="296" t="s">
        <v>1612</v>
      </c>
      <c r="C78" s="297" t="s">
        <v>129</v>
      </c>
      <c r="D78" s="738"/>
      <c r="E78" s="738">
        <f>3300000/1.1</f>
        <v>2999999.9999999995</v>
      </c>
      <c r="F78" s="763">
        <f t="shared" si="2"/>
        <v>2999999.9999999995</v>
      </c>
      <c r="G78" s="775" t="e">
        <f>IF(SUMIF(#REF!,B78,#REF!)&lt;&gt;0,$G$5,0)</f>
        <v>#REF!</v>
      </c>
      <c r="H78" s="298">
        <f>H5</f>
        <v>2</v>
      </c>
    </row>
    <row r="79" spans="1:8" s="298" customFormat="1" ht="18" hidden="1" customHeight="1">
      <c r="A79" s="780" t="e">
        <f t="shared" si="4"/>
        <v>#REF!</v>
      </c>
      <c r="B79" s="296" t="s">
        <v>984</v>
      </c>
      <c r="C79" s="297" t="s">
        <v>59</v>
      </c>
      <c r="D79" s="738"/>
      <c r="E79" s="785">
        <f>250000000/1.1/12</f>
        <v>18939393.939393938</v>
      </c>
      <c r="F79" s="763">
        <f t="shared" si="2"/>
        <v>18939393.939393938</v>
      </c>
      <c r="G79" s="775" t="e">
        <f>IF(SUMIF(#REF!,B79,#REF!)&lt;&gt;0,$G$5,0)</f>
        <v>#REF!</v>
      </c>
    </row>
    <row r="80" spans="1:8" s="298" customFormat="1" ht="18" hidden="1" customHeight="1">
      <c r="A80" s="780" t="e">
        <f t="shared" si="4"/>
        <v>#REF!</v>
      </c>
      <c r="B80" s="296" t="s">
        <v>1627</v>
      </c>
      <c r="C80" s="297" t="s">
        <v>82</v>
      </c>
      <c r="D80" s="738"/>
      <c r="E80" s="738">
        <v>44652</v>
      </c>
      <c r="F80" s="763">
        <f t="shared" ref="F80:F145" si="5">E80+D80</f>
        <v>44652</v>
      </c>
      <c r="G80" s="775" t="e">
        <f>IF(SUMIF(#REF!,B80,#REF!)&lt;&gt;0,$G$5,0)</f>
        <v>#REF!</v>
      </c>
    </row>
    <row r="81" spans="1:7" s="298" customFormat="1" ht="18" hidden="1" customHeight="1">
      <c r="A81" s="780" t="e">
        <f t="shared" si="4"/>
        <v>#REF!</v>
      </c>
      <c r="B81" s="296" t="s">
        <v>991</v>
      </c>
      <c r="C81" s="297" t="s">
        <v>59</v>
      </c>
      <c r="D81" s="738"/>
      <c r="E81" s="738">
        <v>23520000</v>
      </c>
      <c r="F81" s="763">
        <f t="shared" si="5"/>
        <v>23520000</v>
      </c>
      <c r="G81" s="775" t="e">
        <f>IF(SUMIF(#REF!,B81,#REF!)&lt;&gt;0,$G$5,0)</f>
        <v>#REF!</v>
      </c>
    </row>
    <row r="82" spans="1:7" s="298" customFormat="1" ht="18" hidden="1" customHeight="1">
      <c r="A82" s="780" t="e">
        <f t="shared" si="4"/>
        <v>#REF!</v>
      </c>
      <c r="B82" s="296" t="s">
        <v>1597</v>
      </c>
      <c r="C82" s="297" t="s">
        <v>82</v>
      </c>
      <c r="D82" s="738"/>
      <c r="E82" s="738">
        <v>125000</v>
      </c>
      <c r="F82" s="763">
        <f t="shared" si="5"/>
        <v>125000</v>
      </c>
      <c r="G82" s="775" t="e">
        <f>IF(SUMIF(#REF!,B82,#REF!)&lt;&gt;0,$G$5,0)</f>
        <v>#REF!</v>
      </c>
    </row>
    <row r="83" spans="1:7" s="298" customFormat="1" ht="18" customHeight="1">
      <c r="A83" s="780" t="e">
        <f t="shared" si="4"/>
        <v>#REF!</v>
      </c>
      <c r="B83" s="296" t="s">
        <v>1024</v>
      </c>
      <c r="C83" s="297" t="s">
        <v>82</v>
      </c>
      <c r="D83" s="738"/>
      <c r="E83" s="738">
        <v>125000</v>
      </c>
      <c r="F83" s="763">
        <f t="shared" si="5"/>
        <v>125000</v>
      </c>
      <c r="G83" s="775" t="e">
        <f>IF(SUMIF(#REF!,B83,#REF!)&lt;&gt;0,$G$5,0)</f>
        <v>#REF!</v>
      </c>
    </row>
    <row r="84" spans="1:7" s="298" customFormat="1" ht="18" hidden="1" customHeight="1">
      <c r="A84" s="780" t="e">
        <f t="shared" si="4"/>
        <v>#REF!</v>
      </c>
      <c r="B84" s="296" t="s">
        <v>1641</v>
      </c>
      <c r="C84" s="297" t="s">
        <v>577</v>
      </c>
      <c r="D84" s="738"/>
      <c r="E84" s="738">
        <v>125000</v>
      </c>
      <c r="F84" s="763">
        <f t="shared" si="5"/>
        <v>125000</v>
      </c>
      <c r="G84" s="775" t="e">
        <f>IF(SUMIF(#REF!,B84,#REF!)&lt;&gt;0,$G$5,0)</f>
        <v>#REF!</v>
      </c>
    </row>
    <row r="85" spans="1:7" s="298" customFormat="1" ht="18" hidden="1" customHeight="1">
      <c r="A85" s="780" t="e">
        <f t="shared" si="4"/>
        <v>#REF!</v>
      </c>
      <c r="B85" s="296" t="s">
        <v>1596</v>
      </c>
      <c r="C85" s="297" t="s">
        <v>59</v>
      </c>
      <c r="D85" s="738"/>
      <c r="E85" s="738">
        <v>16800000</v>
      </c>
      <c r="F85" s="763">
        <f t="shared" si="5"/>
        <v>16800000</v>
      </c>
      <c r="G85" s="775" t="e">
        <f>IF(SUMIF(#REF!,B85,#REF!)&lt;&gt;0,$G$5,0)</f>
        <v>#REF!</v>
      </c>
    </row>
    <row r="86" spans="1:7" s="298" customFormat="1" ht="18" hidden="1" customHeight="1">
      <c r="A86" s="780" t="e">
        <f t="shared" si="4"/>
        <v>#REF!</v>
      </c>
      <c r="B86" s="296" t="s">
        <v>939</v>
      </c>
      <c r="C86" s="297" t="s">
        <v>45</v>
      </c>
      <c r="D86" s="738"/>
      <c r="E86" s="785">
        <f>50000/1.1</f>
        <v>45454.545454545449</v>
      </c>
      <c r="F86" s="763">
        <f t="shared" si="5"/>
        <v>45454.545454545449</v>
      </c>
      <c r="G86" s="775" t="e">
        <f>IF(SUMIF(#REF!,B86,#REF!)&lt;&gt;0,$G$5,0)</f>
        <v>#REF!</v>
      </c>
    </row>
    <row r="87" spans="1:7" s="298" customFormat="1" ht="18" customHeight="1">
      <c r="A87" s="780" t="e">
        <f t="shared" si="4"/>
        <v>#REF!</v>
      </c>
      <c r="B87" s="296" t="s">
        <v>76</v>
      </c>
      <c r="C87" s="297" t="s">
        <v>59</v>
      </c>
      <c r="D87" s="738"/>
      <c r="E87" s="785">
        <v>54545454.5</v>
      </c>
      <c r="F87" s="763">
        <f t="shared" si="5"/>
        <v>54545454.5</v>
      </c>
      <c r="G87" s="775" t="e">
        <f>IF(SUMIF(#REF!,B87,#REF!)&lt;&gt;0,$G$5,0)</f>
        <v>#REF!</v>
      </c>
    </row>
    <row r="88" spans="1:7" s="298" customFormat="1" ht="18" hidden="1" customHeight="1">
      <c r="A88" s="780" t="e">
        <f t="shared" si="4"/>
        <v>#REF!</v>
      </c>
      <c r="B88" s="296" t="s">
        <v>954</v>
      </c>
      <c r="C88" s="297" t="s">
        <v>577</v>
      </c>
      <c r="D88" s="738"/>
      <c r="E88" s="738">
        <v>9700</v>
      </c>
      <c r="F88" s="763">
        <f t="shared" si="5"/>
        <v>9700</v>
      </c>
      <c r="G88" s="775" t="e">
        <f>IF(SUMIF(#REF!,B88,#REF!)&lt;&gt;0,$G$5,0)</f>
        <v>#REF!</v>
      </c>
    </row>
    <row r="89" spans="1:7" s="298" customFormat="1" ht="18" hidden="1" customHeight="1">
      <c r="A89" s="780" t="e">
        <f t="shared" si="4"/>
        <v>#REF!</v>
      </c>
      <c r="B89" s="296" t="s">
        <v>971</v>
      </c>
      <c r="C89" s="297" t="s">
        <v>59</v>
      </c>
      <c r="D89" s="738"/>
      <c r="E89" s="785">
        <v>20454000</v>
      </c>
      <c r="F89" s="763">
        <f t="shared" si="5"/>
        <v>20454000</v>
      </c>
      <c r="G89" s="775" t="e">
        <f>IF(SUMIF(#REF!,B89,#REF!)&lt;&gt;0,$G$5,0)</f>
        <v>#REF!</v>
      </c>
    </row>
    <row r="90" spans="1:7" s="298" customFormat="1" ht="18" hidden="1" customHeight="1">
      <c r="A90" s="780" t="e">
        <f t="shared" si="4"/>
        <v>#REF!</v>
      </c>
      <c r="B90" s="296" t="s">
        <v>1601</v>
      </c>
      <c r="C90" s="297" t="s">
        <v>59</v>
      </c>
      <c r="D90" s="738"/>
      <c r="E90" s="785">
        <v>63654000</v>
      </c>
      <c r="F90" s="763">
        <f t="shared" si="5"/>
        <v>63654000</v>
      </c>
      <c r="G90" s="775" t="e">
        <f>IF(SUMIF(#REF!,B90,#REF!)&lt;&gt;0,$G$5,0)</f>
        <v>#REF!</v>
      </c>
    </row>
    <row r="91" spans="1:7" s="298" customFormat="1" ht="18" hidden="1" customHeight="1">
      <c r="A91" s="780" t="e">
        <f t="shared" si="4"/>
        <v>#REF!</v>
      </c>
      <c r="B91" s="296" t="s">
        <v>1631</v>
      </c>
      <c r="C91" s="297" t="s">
        <v>82</v>
      </c>
      <c r="D91" s="738"/>
      <c r="E91" s="786">
        <v>200000</v>
      </c>
      <c r="F91" s="763">
        <f t="shared" si="5"/>
        <v>200000</v>
      </c>
      <c r="G91" s="775" t="e">
        <f>IF(SUMIF(#REF!,B91,#REF!)&lt;&gt;0,$G$5,0)</f>
        <v>#REF!</v>
      </c>
    </row>
    <row r="92" spans="1:7" s="298" customFormat="1" ht="18" hidden="1" customHeight="1">
      <c r="A92" s="780" t="e">
        <f t="shared" si="4"/>
        <v>#REF!</v>
      </c>
      <c r="B92" s="296" t="s">
        <v>1630</v>
      </c>
      <c r="C92" s="297" t="s">
        <v>82</v>
      </c>
      <c r="D92" s="738"/>
      <c r="E92" s="786">
        <v>250000</v>
      </c>
      <c r="F92" s="763">
        <f t="shared" si="5"/>
        <v>250000</v>
      </c>
      <c r="G92" s="775" t="e">
        <f>IF(SUMIF(#REF!,B92,#REF!)&lt;&gt;0,$G$5,0)</f>
        <v>#REF!</v>
      </c>
    </row>
    <row r="93" spans="1:7" s="298" customFormat="1" ht="18" hidden="1" customHeight="1">
      <c r="A93" s="780" t="e">
        <f t="shared" si="4"/>
        <v>#REF!</v>
      </c>
      <c r="B93" s="296" t="s">
        <v>1888</v>
      </c>
      <c r="C93" s="297" t="s">
        <v>82</v>
      </c>
      <c r="D93" s="738"/>
      <c r="E93" s="786">
        <v>40000</v>
      </c>
      <c r="F93" s="763">
        <f t="shared" ref="F93" si="6">E93+D93</f>
        <v>40000</v>
      </c>
      <c r="G93" s="775" t="e">
        <f>IF(SUMIF(#REF!,B93,#REF!)&lt;&gt;0,$G$5,0)</f>
        <v>#REF!</v>
      </c>
    </row>
    <row r="94" spans="1:7" s="298" customFormat="1" ht="18" hidden="1" customHeight="1">
      <c r="A94" s="780" t="e">
        <f t="shared" si="4"/>
        <v>#REF!</v>
      </c>
      <c r="B94" s="296" t="s">
        <v>976</v>
      </c>
      <c r="C94" s="297" t="s">
        <v>82</v>
      </c>
      <c r="D94" s="738"/>
      <c r="E94" s="786">
        <v>50000</v>
      </c>
      <c r="F94" s="763">
        <f t="shared" si="5"/>
        <v>50000</v>
      </c>
      <c r="G94" s="775" t="e">
        <f>IF(SUMIF(#REF!,B94,#REF!)&lt;&gt;0,$G$5,0)</f>
        <v>#REF!</v>
      </c>
    </row>
    <row r="95" spans="1:7" s="298" customFormat="1" ht="18" hidden="1" customHeight="1">
      <c r="A95" s="780" t="e">
        <f t="shared" si="4"/>
        <v>#REF!</v>
      </c>
      <c r="B95" s="296" t="s">
        <v>1617</v>
      </c>
      <c r="C95" s="297" t="s">
        <v>82</v>
      </c>
      <c r="D95" s="738"/>
      <c r="E95" s="738">
        <v>500000</v>
      </c>
      <c r="F95" s="763">
        <f t="shared" si="5"/>
        <v>500000</v>
      </c>
      <c r="G95" s="775" t="e">
        <f>IF(SUMIF(#REF!,B95,#REF!)&lt;&gt;0,$G$5,0)</f>
        <v>#REF!</v>
      </c>
    </row>
    <row r="96" spans="1:7" s="298" customFormat="1" ht="18" hidden="1" customHeight="1">
      <c r="A96" s="780" t="e">
        <f t="shared" si="4"/>
        <v>#REF!</v>
      </c>
      <c r="B96" s="296" t="s">
        <v>913</v>
      </c>
      <c r="C96" s="297" t="s">
        <v>59</v>
      </c>
      <c r="D96" s="738"/>
      <c r="E96" s="738">
        <v>12900000</v>
      </c>
      <c r="F96" s="763">
        <f t="shared" si="5"/>
        <v>12900000</v>
      </c>
      <c r="G96" s="775" t="e">
        <f>IF(SUMIF(#REF!,B96,#REF!)&lt;&gt;0,$G$5,0)</f>
        <v>#REF!</v>
      </c>
    </row>
    <row r="97" spans="1:7" s="298" customFormat="1" ht="18" hidden="1" customHeight="1">
      <c r="A97" s="780" t="e">
        <f t="shared" si="4"/>
        <v>#REF!</v>
      </c>
      <c r="B97" s="296" t="s">
        <v>1048</v>
      </c>
      <c r="C97" s="297" t="s">
        <v>59</v>
      </c>
      <c r="D97" s="738"/>
      <c r="E97" s="738">
        <v>13600000</v>
      </c>
      <c r="F97" s="763">
        <f t="shared" si="5"/>
        <v>13600000</v>
      </c>
      <c r="G97" s="775" t="e">
        <f>IF(SUMIF(#REF!,B97,#REF!)&lt;&gt;0,$G$5,0)</f>
        <v>#REF!</v>
      </c>
    </row>
    <row r="98" spans="1:7" s="298" customFormat="1" ht="18" hidden="1" customHeight="1">
      <c r="A98" s="780" t="e">
        <f t="shared" si="4"/>
        <v>#REF!</v>
      </c>
      <c r="B98" s="296" t="s">
        <v>1608</v>
      </c>
      <c r="C98" s="297" t="s">
        <v>59</v>
      </c>
      <c r="D98" s="738"/>
      <c r="E98" s="738">
        <v>52000000</v>
      </c>
      <c r="F98" s="763">
        <f t="shared" si="5"/>
        <v>52000000</v>
      </c>
      <c r="G98" s="775" t="e">
        <f>IF(SUMIF(#REF!,B98,#REF!)&lt;&gt;0,$G$5,0)</f>
        <v>#REF!</v>
      </c>
    </row>
    <row r="99" spans="1:7" s="298" customFormat="1" ht="18" customHeight="1">
      <c r="A99" s="780" t="e">
        <f t="shared" si="4"/>
        <v>#REF!</v>
      </c>
      <c r="B99" s="296" t="s">
        <v>30</v>
      </c>
      <c r="C99" s="297" t="s">
        <v>59</v>
      </c>
      <c r="D99" s="738"/>
      <c r="E99" s="738">
        <v>21272730</v>
      </c>
      <c r="F99" s="763">
        <f t="shared" si="5"/>
        <v>21272730</v>
      </c>
      <c r="G99" s="775" t="e">
        <f>IF(SUMIF(#REF!,B99,#REF!)&lt;&gt;0,$G$5,0)</f>
        <v>#REF!</v>
      </c>
    </row>
    <row r="100" spans="1:7" s="298" customFormat="1" ht="18" hidden="1" customHeight="1">
      <c r="A100" s="780" t="e">
        <f t="shared" si="4"/>
        <v>#REF!</v>
      </c>
      <c r="B100" s="296" t="s">
        <v>920</v>
      </c>
      <c r="C100" s="297" t="s">
        <v>59</v>
      </c>
      <c r="D100" s="738"/>
      <c r="E100" s="738">
        <v>14000000</v>
      </c>
      <c r="F100" s="763">
        <f t="shared" si="5"/>
        <v>14000000</v>
      </c>
      <c r="G100" s="775" t="e">
        <f>IF(SUMIF(#REF!,B100,#REF!)&lt;&gt;0,$G$5,0)</f>
        <v>#REF!</v>
      </c>
    </row>
    <row r="101" spans="1:7" s="298" customFormat="1" ht="18" hidden="1" customHeight="1">
      <c r="A101" s="780" t="e">
        <f t="shared" si="4"/>
        <v>#REF!</v>
      </c>
      <c r="B101" s="296" t="s">
        <v>1287</v>
      </c>
      <c r="C101" s="297" t="s">
        <v>59</v>
      </c>
      <c r="D101" s="738"/>
      <c r="E101" s="738">
        <v>13600000</v>
      </c>
      <c r="F101" s="763">
        <f t="shared" si="5"/>
        <v>13600000</v>
      </c>
      <c r="G101" s="775" t="e">
        <f>IF(SUMIF(#REF!,B101,#REF!)&lt;&gt;0,$G$5,0)</f>
        <v>#REF!</v>
      </c>
    </row>
    <row r="102" spans="1:7" s="298" customFormat="1" ht="18" hidden="1" customHeight="1">
      <c r="A102" s="780" t="e">
        <f t="shared" si="4"/>
        <v>#REF!</v>
      </c>
      <c r="B102" s="296" t="s">
        <v>936</v>
      </c>
      <c r="C102" s="297" t="s">
        <v>59</v>
      </c>
      <c r="D102" s="738"/>
      <c r="E102" s="738">
        <v>14000000</v>
      </c>
      <c r="F102" s="763">
        <f t="shared" si="5"/>
        <v>14000000</v>
      </c>
      <c r="G102" s="775" t="e">
        <f>IF(SUMIF(#REF!,B102,#REF!)&lt;&gt;0,$G$5,0)</f>
        <v>#REF!</v>
      </c>
    </row>
    <row r="103" spans="1:7" s="298" customFormat="1" ht="18" hidden="1" customHeight="1">
      <c r="A103" s="780" t="e">
        <f t="shared" si="4"/>
        <v>#REF!</v>
      </c>
      <c r="B103" s="296" t="s">
        <v>930</v>
      </c>
      <c r="C103" s="297" t="s">
        <v>59</v>
      </c>
      <c r="D103" s="738"/>
      <c r="E103" s="738">
        <v>14000000</v>
      </c>
      <c r="F103" s="763">
        <f t="shared" si="5"/>
        <v>14000000</v>
      </c>
      <c r="G103" s="775" t="e">
        <f>IF(SUMIF(#REF!,B103,#REF!)&lt;&gt;0,$G$5,0)</f>
        <v>#REF!</v>
      </c>
    </row>
    <row r="104" spans="1:7" s="298" customFormat="1" ht="18" customHeight="1">
      <c r="A104" s="780" t="e">
        <f t="shared" si="4"/>
        <v>#REF!</v>
      </c>
      <c r="B104" s="296" t="s">
        <v>29</v>
      </c>
      <c r="C104" s="297" t="s">
        <v>7</v>
      </c>
      <c r="D104" s="738"/>
      <c r="E104" s="738">
        <v>4000</v>
      </c>
      <c r="F104" s="763">
        <f t="shared" si="5"/>
        <v>4000</v>
      </c>
      <c r="G104" s="775" t="e">
        <f>IF(SUMIF(#REF!,B104,#REF!)&lt;&gt;0,$G$5,0)</f>
        <v>#REF!</v>
      </c>
    </row>
    <row r="105" spans="1:7" s="298" customFormat="1" ht="18" hidden="1" customHeight="1">
      <c r="A105" s="780" t="e">
        <f t="shared" si="4"/>
        <v>#REF!</v>
      </c>
      <c r="B105" s="296" t="s">
        <v>1607</v>
      </c>
      <c r="C105" s="297" t="s">
        <v>59</v>
      </c>
      <c r="D105" s="738"/>
      <c r="E105" s="738">
        <v>20000000</v>
      </c>
      <c r="F105" s="763">
        <f t="shared" si="5"/>
        <v>20000000</v>
      </c>
      <c r="G105" s="775" t="e">
        <f>IF(SUMIF(#REF!,B105,#REF!)&lt;&gt;0,$G$5,0)</f>
        <v>#REF!</v>
      </c>
    </row>
    <row r="106" spans="1:7" s="298" customFormat="1" ht="18" hidden="1" customHeight="1">
      <c r="A106" s="780" t="e">
        <f t="shared" si="4"/>
        <v>#REF!</v>
      </c>
      <c r="B106" s="296" t="s">
        <v>950</v>
      </c>
      <c r="C106" s="297" t="s">
        <v>577</v>
      </c>
      <c r="D106" s="738"/>
      <c r="E106" s="738">
        <v>18000</v>
      </c>
      <c r="F106" s="763">
        <f t="shared" si="5"/>
        <v>18000</v>
      </c>
      <c r="G106" s="775" t="e">
        <f>IF(SUMIF(#REF!,B106,#REF!)&lt;&gt;0,$G$5,0)</f>
        <v>#REF!</v>
      </c>
    </row>
    <row r="107" spans="1:7" s="298" customFormat="1" ht="18" hidden="1" customHeight="1">
      <c r="A107" s="780" t="e">
        <f t="shared" si="4"/>
        <v>#REF!</v>
      </c>
      <c r="B107" s="296" t="s">
        <v>997</v>
      </c>
      <c r="C107" s="297" t="s">
        <v>576</v>
      </c>
      <c r="D107" s="738"/>
      <c r="E107" s="738">
        <v>20000</v>
      </c>
      <c r="F107" s="763">
        <f t="shared" si="5"/>
        <v>20000</v>
      </c>
      <c r="G107" s="775" t="e">
        <f>IF(SUMIF(#REF!,B107,#REF!)&lt;&gt;0,$G$5,0)</f>
        <v>#REF!</v>
      </c>
    </row>
    <row r="108" spans="1:7" s="298" customFormat="1" ht="18" hidden="1" customHeight="1">
      <c r="A108" s="780" t="e">
        <f t="shared" si="4"/>
        <v>#REF!</v>
      </c>
      <c r="B108" s="296" t="s">
        <v>1646</v>
      </c>
      <c r="C108" s="297" t="s">
        <v>922</v>
      </c>
      <c r="D108" s="738"/>
      <c r="E108" s="738">
        <v>5000</v>
      </c>
      <c r="F108" s="763">
        <f t="shared" si="5"/>
        <v>5000</v>
      </c>
      <c r="G108" s="775" t="e">
        <f>IF(SUMIF(#REF!,B108,#REF!)&lt;&gt;0,$G$5,0)</f>
        <v>#REF!</v>
      </c>
    </row>
    <row r="109" spans="1:7" s="298" customFormat="1" ht="18" hidden="1" customHeight="1">
      <c r="A109" s="780" t="e">
        <f t="shared" si="4"/>
        <v>#REF!</v>
      </c>
      <c r="B109" s="296" t="s">
        <v>1646</v>
      </c>
      <c r="C109" s="297" t="s">
        <v>922</v>
      </c>
      <c r="D109" s="738"/>
      <c r="E109" s="738">
        <v>5000</v>
      </c>
      <c r="F109" s="763">
        <f t="shared" si="5"/>
        <v>5000</v>
      </c>
      <c r="G109" s="775" t="e">
        <f>IF(SUMIF(#REF!,B109,#REF!)&lt;&gt;0,$G$5,0)</f>
        <v>#REF!</v>
      </c>
    </row>
    <row r="110" spans="1:7" s="298" customFormat="1" ht="18" hidden="1" customHeight="1">
      <c r="A110" s="780" t="e">
        <f t="shared" si="4"/>
        <v>#REF!</v>
      </c>
      <c r="B110" s="296" t="s">
        <v>1001</v>
      </c>
      <c r="C110" s="297" t="s">
        <v>59</v>
      </c>
      <c r="D110" s="738"/>
      <c r="E110" s="738">
        <v>5000000</v>
      </c>
      <c r="F110" s="763">
        <f t="shared" si="5"/>
        <v>5000000</v>
      </c>
      <c r="G110" s="775" t="e">
        <f>IF(SUMIF(#REF!,B110,#REF!)&lt;&gt;0,$G$5,0)</f>
        <v>#REF!</v>
      </c>
    </row>
    <row r="111" spans="1:7" s="298" customFormat="1" ht="18" hidden="1" customHeight="1">
      <c r="A111" s="780" t="e">
        <f t="shared" si="4"/>
        <v>#REF!</v>
      </c>
      <c r="B111" s="296" t="s">
        <v>1645</v>
      </c>
      <c r="C111" s="297" t="s">
        <v>59</v>
      </c>
      <c r="D111" s="738"/>
      <c r="E111" s="738">
        <v>5000000</v>
      </c>
      <c r="F111" s="763">
        <f t="shared" si="5"/>
        <v>5000000</v>
      </c>
      <c r="G111" s="775" t="e">
        <f>IF(SUMIF(#REF!,B111,#REF!)&lt;&gt;0,$G$5,0)</f>
        <v>#REF!</v>
      </c>
    </row>
    <row r="112" spans="1:7" s="298" customFormat="1" ht="18" hidden="1" customHeight="1">
      <c r="A112" s="780" t="e">
        <f t="shared" si="4"/>
        <v>#REF!</v>
      </c>
      <c r="B112" s="296" t="s">
        <v>1603</v>
      </c>
      <c r="C112" s="297" t="s">
        <v>59</v>
      </c>
      <c r="D112" s="738"/>
      <c r="E112" s="738">
        <v>20000000</v>
      </c>
      <c r="F112" s="763">
        <f t="shared" si="5"/>
        <v>20000000</v>
      </c>
      <c r="G112" s="775" t="e">
        <f>IF(SUMIF(#REF!,B112,#REF!)&lt;&gt;0,$G$5,0)</f>
        <v>#REF!</v>
      </c>
    </row>
    <row r="113" spans="1:8" s="298" customFormat="1" ht="18" hidden="1" customHeight="1">
      <c r="A113" s="780" t="e">
        <f t="shared" si="4"/>
        <v>#REF!</v>
      </c>
      <c r="B113" s="296" t="s">
        <v>1613</v>
      </c>
      <c r="C113" s="297" t="s">
        <v>59</v>
      </c>
      <c r="D113" s="738"/>
      <c r="E113" s="738">
        <v>20000000</v>
      </c>
      <c r="F113" s="763">
        <f t="shared" si="5"/>
        <v>20000000</v>
      </c>
      <c r="G113" s="775" t="e">
        <f>IF(SUMIF(#REF!,B113,#REF!)&lt;&gt;0,$G$5,0)</f>
        <v>#REF!</v>
      </c>
    </row>
    <row r="114" spans="1:8" s="298" customFormat="1" ht="18" customHeight="1">
      <c r="A114" s="780" t="e">
        <f t="shared" si="4"/>
        <v>#REF!</v>
      </c>
      <c r="B114" s="296" t="s">
        <v>35</v>
      </c>
      <c r="C114" s="297" t="s">
        <v>36</v>
      </c>
      <c r="D114" s="738"/>
      <c r="E114" s="738">
        <v>16400</v>
      </c>
      <c r="F114" s="763">
        <f t="shared" si="5"/>
        <v>16400</v>
      </c>
      <c r="G114" s="775" t="e">
        <f>IF(SUMIF(#REF!,B114,#REF!)&lt;&gt;0,$G$5,0)</f>
        <v>#REF!</v>
      </c>
    </row>
    <row r="115" spans="1:8" s="298" customFormat="1" ht="18" customHeight="1">
      <c r="A115" s="780" t="e">
        <f t="shared" si="4"/>
        <v>#REF!</v>
      </c>
      <c r="B115" s="296" t="s">
        <v>41</v>
      </c>
      <c r="C115" s="297" t="s">
        <v>59</v>
      </c>
      <c r="D115" s="738"/>
      <c r="E115" s="785">
        <v>18182000</v>
      </c>
      <c r="F115" s="763">
        <f t="shared" si="5"/>
        <v>18182000</v>
      </c>
      <c r="G115" s="775" t="e">
        <f>IF(SUMIF(#REF!,B115,#REF!)&lt;&gt;0,$G$5,0)</f>
        <v>#REF!</v>
      </c>
    </row>
    <row r="116" spans="1:8" s="298" customFormat="1" ht="18" hidden="1" customHeight="1">
      <c r="A116" s="780" t="e">
        <f t="shared" si="4"/>
        <v>#REF!</v>
      </c>
      <c r="B116" s="296" t="s">
        <v>1606</v>
      </c>
      <c r="C116" s="297" t="s">
        <v>59</v>
      </c>
      <c r="D116" s="738"/>
      <c r="E116" s="738">
        <f>650000000/1.1</f>
        <v>590909090.90909088</v>
      </c>
      <c r="F116" s="763">
        <f t="shared" si="5"/>
        <v>590909090.90909088</v>
      </c>
      <c r="G116" s="775" t="e">
        <f>IF(SUMIF(#REF!,B116,#REF!)&lt;&gt;0,$G$5,0)</f>
        <v>#REF!</v>
      </c>
      <c r="H116" s="298">
        <v>2</v>
      </c>
    </row>
    <row r="117" spans="1:8" s="298" customFormat="1" ht="18" customHeight="1">
      <c r="A117" s="780" t="e">
        <f t="shared" si="4"/>
        <v>#REF!</v>
      </c>
      <c r="B117" s="296" t="s">
        <v>1623</v>
      </c>
      <c r="C117" s="297" t="s">
        <v>985</v>
      </c>
      <c r="D117" s="738"/>
      <c r="E117" s="738">
        <f>425000/1.1</f>
        <v>386363.63636363635</v>
      </c>
      <c r="F117" s="763">
        <f t="shared" si="5"/>
        <v>386363.63636363635</v>
      </c>
      <c r="G117" s="775" t="e">
        <f>IF(SUMIF(#REF!,B117,#REF!)&lt;&gt;0,$G$5,0)</f>
        <v>#REF!</v>
      </c>
      <c r="H117" s="298">
        <f>H5</f>
        <v>2</v>
      </c>
    </row>
    <row r="118" spans="1:8" s="298" customFormat="1" ht="18" hidden="1" customHeight="1">
      <c r="A118" s="780" t="e">
        <f t="shared" si="4"/>
        <v>#REF!</v>
      </c>
      <c r="B118" s="296" t="s">
        <v>1816</v>
      </c>
      <c r="C118" s="297" t="s">
        <v>985</v>
      </c>
      <c r="D118" s="738"/>
      <c r="E118" s="738">
        <f>400000/1.1</f>
        <v>363636.36363636359</v>
      </c>
      <c r="F118" s="763">
        <f t="shared" ref="F118" si="7">E118+D118</f>
        <v>363636.36363636359</v>
      </c>
      <c r="G118" s="775" t="e">
        <f>IF(SUMIF(#REF!,B118,#REF!)&lt;&gt;0,$G$5,0)</f>
        <v>#REF!</v>
      </c>
    </row>
    <row r="119" spans="1:8" s="298" customFormat="1" ht="18" hidden="1" customHeight="1">
      <c r="A119" s="780" t="e">
        <f t="shared" si="4"/>
        <v>#REF!</v>
      </c>
      <c r="B119" s="296" t="s">
        <v>1602</v>
      </c>
      <c r="C119" s="297" t="s">
        <v>59</v>
      </c>
      <c r="D119" s="738"/>
      <c r="E119" s="738">
        <f>500000000/1.1/25</f>
        <v>18181818.18181818</v>
      </c>
      <c r="F119" s="763">
        <f t="shared" si="5"/>
        <v>18181818.18181818</v>
      </c>
      <c r="G119" s="775" t="e">
        <f>IF(SUMIF(#REF!,B119,#REF!)&lt;&gt;0,$G$5,0)</f>
        <v>#REF!</v>
      </c>
      <c r="H119" s="298">
        <v>2</v>
      </c>
    </row>
    <row r="120" spans="1:8" s="298" customFormat="1" ht="18" customHeight="1">
      <c r="A120" s="780" t="e">
        <f t="shared" si="4"/>
        <v>#REF!</v>
      </c>
      <c r="B120" s="296" t="s">
        <v>942</v>
      </c>
      <c r="C120" s="297" t="s">
        <v>59</v>
      </c>
      <c r="D120" s="738"/>
      <c r="E120" s="738">
        <v>91636000</v>
      </c>
      <c r="F120" s="763">
        <f t="shared" si="5"/>
        <v>91636000</v>
      </c>
      <c r="G120" s="775" t="e">
        <f>IF(SUMIF(#REF!,B120,#REF!)&lt;&gt;0,$G$5,0)</f>
        <v>#REF!</v>
      </c>
    </row>
    <row r="121" spans="1:8" s="298" customFormat="1" ht="18" hidden="1" customHeight="1">
      <c r="A121" s="780" t="e">
        <f t="shared" si="4"/>
        <v>#REF!</v>
      </c>
      <c r="B121" s="296" t="s">
        <v>1649</v>
      </c>
      <c r="C121" s="297" t="s">
        <v>59</v>
      </c>
      <c r="D121" s="738"/>
      <c r="E121" s="738">
        <v>24000000</v>
      </c>
      <c r="F121" s="763">
        <f t="shared" si="5"/>
        <v>24000000</v>
      </c>
      <c r="G121" s="775" t="e">
        <f>IF(SUMIF(#REF!,B121,#REF!)&lt;&gt;0,$G$5,0)</f>
        <v>#REF!</v>
      </c>
    </row>
    <row r="122" spans="1:8" s="298" customFormat="1" ht="18" hidden="1" customHeight="1">
      <c r="A122" s="780" t="e">
        <f t="shared" si="4"/>
        <v>#REF!</v>
      </c>
      <c r="B122" s="296" t="s">
        <v>1648</v>
      </c>
      <c r="C122" s="297" t="s">
        <v>59</v>
      </c>
      <c r="D122" s="738"/>
      <c r="E122" s="738">
        <v>24000000</v>
      </c>
      <c r="F122" s="763">
        <f t="shared" si="5"/>
        <v>24000000</v>
      </c>
      <c r="G122" s="775" t="e">
        <f>IF(SUMIF(#REF!,B122,#REF!)&lt;&gt;0,$G$5,0)</f>
        <v>#REF!</v>
      </c>
    </row>
    <row r="123" spans="1:8" s="298" customFormat="1" ht="18" hidden="1" customHeight="1">
      <c r="A123" s="780" t="e">
        <f t="shared" si="4"/>
        <v>#REF!</v>
      </c>
      <c r="B123" s="296" t="s">
        <v>1647</v>
      </c>
      <c r="C123" s="297" t="s">
        <v>59</v>
      </c>
      <c r="D123" s="738"/>
      <c r="E123" s="738">
        <v>24000000</v>
      </c>
      <c r="F123" s="763">
        <f t="shared" si="5"/>
        <v>24000000</v>
      </c>
      <c r="G123" s="775" t="e">
        <f>IF(SUMIF(#REF!,B123,#REF!)&lt;&gt;0,$G$5,0)</f>
        <v>#REF!</v>
      </c>
    </row>
    <row r="124" spans="1:8" s="298" customFormat="1" ht="18" hidden="1" customHeight="1">
      <c r="A124" s="780" t="e">
        <f t="shared" si="4"/>
        <v>#REF!</v>
      </c>
      <c r="B124" s="296" t="s">
        <v>975</v>
      </c>
      <c r="C124" s="297" t="s">
        <v>59</v>
      </c>
      <c r="D124" s="738"/>
      <c r="E124" s="785">
        <v>79272727</v>
      </c>
      <c r="F124" s="763">
        <f t="shared" si="5"/>
        <v>79272727</v>
      </c>
      <c r="G124" s="775" t="e">
        <f>IF(SUMIF(#REF!,B124,#REF!)&lt;&gt;0,$G$5,0)</f>
        <v>#REF!</v>
      </c>
    </row>
    <row r="125" spans="1:8" s="298" customFormat="1" ht="18" hidden="1" customHeight="1">
      <c r="A125" s="780" t="e">
        <f t="shared" si="4"/>
        <v>#REF!</v>
      </c>
      <c r="B125" s="296" t="s">
        <v>957</v>
      </c>
      <c r="C125" s="297" t="s">
        <v>59</v>
      </c>
      <c r="D125" s="738"/>
      <c r="E125" s="785">
        <v>79272727</v>
      </c>
      <c r="F125" s="763">
        <f t="shared" si="5"/>
        <v>79272727</v>
      </c>
      <c r="G125" s="775" t="e">
        <f>IF(SUMIF(#REF!,B125,#REF!)&lt;&gt;0,$G$5,0)</f>
        <v>#REF!</v>
      </c>
    </row>
    <row r="126" spans="1:8" s="298" customFormat="1" ht="18" hidden="1" customHeight="1">
      <c r="A126" s="780" t="e">
        <f t="shared" si="4"/>
        <v>#REF!</v>
      </c>
      <c r="B126" s="296" t="s">
        <v>1626</v>
      </c>
      <c r="C126" s="297" t="s">
        <v>59</v>
      </c>
      <c r="D126" s="738"/>
      <c r="E126" s="786">
        <v>38980000</v>
      </c>
      <c r="F126" s="763">
        <f t="shared" si="5"/>
        <v>38980000</v>
      </c>
      <c r="G126" s="775" t="e">
        <f>IF(SUMIF(#REF!,B126,#REF!)&lt;&gt;0,$G$5,0)</f>
        <v>#REF!</v>
      </c>
    </row>
    <row r="127" spans="1:8" s="298" customFormat="1" ht="18" customHeight="1">
      <c r="A127" s="780" t="e">
        <f t="shared" si="4"/>
        <v>#REF!</v>
      </c>
      <c r="B127" s="296" t="s">
        <v>87</v>
      </c>
      <c r="C127" s="297" t="s">
        <v>59</v>
      </c>
      <c r="D127" s="738"/>
      <c r="E127" s="738">
        <v>22000000</v>
      </c>
      <c r="F127" s="763">
        <f t="shared" si="5"/>
        <v>22000000</v>
      </c>
      <c r="G127" s="775" t="e">
        <f>IF(SUMIF(#REF!,B127,#REF!)&lt;&gt;0,$G$5,0)</f>
        <v>#REF!</v>
      </c>
    </row>
    <row r="128" spans="1:8" s="298" customFormat="1" ht="18" customHeight="1">
      <c r="A128" s="780" t="e">
        <f t="shared" si="4"/>
        <v>#REF!</v>
      </c>
      <c r="B128" s="296" t="s">
        <v>40</v>
      </c>
      <c r="C128" s="297" t="s">
        <v>59</v>
      </c>
      <c r="D128" s="738"/>
      <c r="E128" s="738">
        <v>22000000</v>
      </c>
      <c r="F128" s="763">
        <f t="shared" si="5"/>
        <v>22000000</v>
      </c>
      <c r="G128" s="775" t="e">
        <f>IF(SUMIF(#REF!,B128,#REF!)&lt;&gt;0,$G$5,0)</f>
        <v>#REF!</v>
      </c>
    </row>
    <row r="129" spans="1:7" s="298" customFormat="1" ht="18" hidden="1" customHeight="1">
      <c r="A129" s="780" t="e">
        <f t="shared" si="4"/>
        <v>#REF!</v>
      </c>
      <c r="B129" s="296" t="s">
        <v>959</v>
      </c>
      <c r="C129" s="297" t="s">
        <v>59</v>
      </c>
      <c r="D129" s="738"/>
      <c r="E129" s="738">
        <v>17450000</v>
      </c>
      <c r="F129" s="763">
        <f t="shared" si="5"/>
        <v>17450000</v>
      </c>
      <c r="G129" s="775" t="e">
        <f>IF(SUMIF(#REF!,B129,#REF!)&lt;&gt;0,$G$5,0)</f>
        <v>#REF!</v>
      </c>
    </row>
    <row r="130" spans="1:7" s="298" customFormat="1" ht="18" customHeight="1">
      <c r="A130" s="780" t="e">
        <f t="shared" si="4"/>
        <v>#REF!</v>
      </c>
      <c r="B130" s="296" t="s">
        <v>64</v>
      </c>
      <c r="C130" s="297" t="s">
        <v>59</v>
      </c>
      <c r="D130" s="738"/>
      <c r="E130" s="738">
        <v>16750000</v>
      </c>
      <c r="F130" s="763">
        <f t="shared" si="5"/>
        <v>16750000</v>
      </c>
      <c r="G130" s="775" t="e">
        <f>IF(SUMIF(#REF!,B130,#REF!)&lt;&gt;0,$G$5,0)</f>
        <v>#REF!</v>
      </c>
    </row>
    <row r="131" spans="1:7" s="298" customFormat="1" ht="18" customHeight="1">
      <c r="A131" s="780" t="e">
        <f t="shared" si="4"/>
        <v>#REF!</v>
      </c>
      <c r="B131" s="296" t="s">
        <v>69</v>
      </c>
      <c r="C131" s="297" t="s">
        <v>59</v>
      </c>
      <c r="D131" s="738"/>
      <c r="E131" s="738">
        <v>16750000</v>
      </c>
      <c r="F131" s="763">
        <f t="shared" si="5"/>
        <v>16750000</v>
      </c>
      <c r="G131" s="775" t="e">
        <f>IF(SUMIF(#REF!,B131,#REF!)&lt;&gt;0,$G$5,0)</f>
        <v>#REF!</v>
      </c>
    </row>
    <row r="132" spans="1:7" s="298" customFormat="1" ht="18" hidden="1" customHeight="1">
      <c r="A132" s="780" t="e">
        <f t="shared" si="4"/>
        <v>#REF!</v>
      </c>
      <c r="B132" s="296" t="s">
        <v>1605</v>
      </c>
      <c r="C132" s="297" t="s">
        <v>59</v>
      </c>
      <c r="D132" s="738"/>
      <c r="E132" s="738">
        <v>17450000</v>
      </c>
      <c r="F132" s="763">
        <f t="shared" si="5"/>
        <v>17450000</v>
      </c>
      <c r="G132" s="775" t="e">
        <f>IF(SUMIF(#REF!,B132,#REF!)&lt;&gt;0,$G$5,0)</f>
        <v>#REF!</v>
      </c>
    </row>
    <row r="133" spans="1:7" s="298" customFormat="1" ht="18" hidden="1" customHeight="1">
      <c r="A133" s="780" t="e">
        <f t="shared" si="4"/>
        <v>#REF!</v>
      </c>
      <c r="B133" s="296" t="s">
        <v>982</v>
      </c>
      <c r="C133" s="297" t="s">
        <v>59</v>
      </c>
      <c r="D133" s="738"/>
      <c r="E133" s="738">
        <v>17450000</v>
      </c>
      <c r="F133" s="763">
        <f t="shared" si="5"/>
        <v>17450000</v>
      </c>
      <c r="G133" s="775" t="e">
        <f>IF(SUMIF(#REF!,B133,#REF!)&lt;&gt;0,$G$5,0)</f>
        <v>#REF!</v>
      </c>
    </row>
    <row r="134" spans="1:7" s="298" customFormat="1" ht="18" customHeight="1">
      <c r="A134" s="780" t="e">
        <f t="shared" si="4"/>
        <v>#REF!</v>
      </c>
      <c r="B134" s="296" t="s">
        <v>974</v>
      </c>
      <c r="C134" s="297" t="s">
        <v>59</v>
      </c>
      <c r="D134" s="738"/>
      <c r="E134" s="738">
        <v>16750000</v>
      </c>
      <c r="F134" s="763">
        <f t="shared" si="5"/>
        <v>16750000</v>
      </c>
      <c r="G134" s="775" t="e">
        <f>IF(SUMIF(#REF!,B134,#REF!)&lt;&gt;0,$G$5,0)</f>
        <v>#REF!</v>
      </c>
    </row>
    <row r="135" spans="1:7" s="298" customFormat="1" ht="18" hidden="1" customHeight="1">
      <c r="A135" s="780" t="e">
        <f t="shared" si="4"/>
        <v>#REF!</v>
      </c>
      <c r="B135" s="296" t="s">
        <v>60</v>
      </c>
      <c r="C135" s="297" t="s">
        <v>59</v>
      </c>
      <c r="D135" s="738"/>
      <c r="E135" s="738">
        <v>17450000</v>
      </c>
      <c r="F135" s="763">
        <f t="shared" si="5"/>
        <v>17450000</v>
      </c>
      <c r="G135" s="775" t="e">
        <f>IF(SUMIF(#REF!,B135,#REF!)&lt;&gt;0,$G$5,0)</f>
        <v>#REF!</v>
      </c>
    </row>
    <row r="136" spans="1:7" s="298" customFormat="1" ht="18" customHeight="1">
      <c r="A136" s="780" t="e">
        <f t="shared" si="4"/>
        <v>#REF!</v>
      </c>
      <c r="B136" s="296" t="s">
        <v>86</v>
      </c>
      <c r="C136" s="297" t="s">
        <v>59</v>
      </c>
      <c r="D136" s="738"/>
      <c r="E136" s="738">
        <v>22000000</v>
      </c>
      <c r="F136" s="763">
        <f t="shared" si="5"/>
        <v>22000000</v>
      </c>
      <c r="G136" s="775" t="e">
        <f>IF(SUMIF(#REF!,B136,#REF!)&lt;&gt;0,$G$5,0)</f>
        <v>#REF!</v>
      </c>
    </row>
    <row r="137" spans="1:7" s="298" customFormat="1" ht="18" customHeight="1">
      <c r="A137" s="780" t="e">
        <f t="shared" si="4"/>
        <v>#REF!</v>
      </c>
      <c r="B137" s="296" t="s">
        <v>941</v>
      </c>
      <c r="C137" s="297" t="s">
        <v>129</v>
      </c>
      <c r="D137" s="738"/>
      <c r="E137" s="738">
        <f>714200/3.23</f>
        <v>221114.55108359133</v>
      </c>
      <c r="F137" s="763">
        <f t="shared" si="5"/>
        <v>221114.55108359133</v>
      </c>
      <c r="G137" s="775" t="e">
        <f>IF(SUMIF(#REF!,B137,#REF!)&lt;&gt;0,$G$5,0)</f>
        <v>#REF!</v>
      </c>
    </row>
    <row r="138" spans="1:7" s="298" customFormat="1" ht="18" hidden="1" customHeight="1">
      <c r="A138" s="780" t="e">
        <f t="shared" si="4"/>
        <v>#REF!</v>
      </c>
      <c r="B138" s="296" t="s">
        <v>947</v>
      </c>
      <c r="C138" s="297" t="s">
        <v>577</v>
      </c>
      <c r="D138" s="738"/>
      <c r="E138" s="738">
        <v>977000</v>
      </c>
      <c r="F138" s="763">
        <f t="shared" si="5"/>
        <v>977000</v>
      </c>
      <c r="G138" s="775" t="e">
        <f>IF(SUMIF(#REF!,B138,#REF!)&lt;&gt;0,$G$5,0)</f>
        <v>#REF!</v>
      </c>
    </row>
    <row r="139" spans="1:7" s="298" customFormat="1" ht="18" hidden="1" customHeight="1">
      <c r="A139" s="780" t="e">
        <f t="shared" ref="A139:A192" si="8">A138+G139</f>
        <v>#REF!</v>
      </c>
      <c r="B139" s="296" t="s">
        <v>1674</v>
      </c>
      <c r="C139" s="297" t="s">
        <v>577</v>
      </c>
      <c r="D139" s="738"/>
      <c r="E139" s="738">
        <v>266800</v>
      </c>
      <c r="F139" s="763">
        <f t="shared" si="5"/>
        <v>266800</v>
      </c>
      <c r="G139" s="775" t="e">
        <f>IF(SUMIF(#REF!,B139,#REF!)&lt;&gt;0,$G$5,0)</f>
        <v>#REF!</v>
      </c>
    </row>
    <row r="140" spans="1:7" s="298" customFormat="1" ht="18" hidden="1" customHeight="1">
      <c r="A140" s="780" t="e">
        <f t="shared" si="8"/>
        <v>#REF!</v>
      </c>
      <c r="B140" s="296" t="s">
        <v>1642</v>
      </c>
      <c r="C140" s="297" t="s">
        <v>45</v>
      </c>
      <c r="D140" s="738"/>
      <c r="E140" s="738">
        <v>25000</v>
      </c>
      <c r="F140" s="763">
        <f t="shared" si="5"/>
        <v>25000</v>
      </c>
      <c r="G140" s="775" t="e">
        <f>IF(SUMIF(#REF!,B140,#REF!)&lt;&gt;0,$G$5,0)</f>
        <v>#REF!</v>
      </c>
    </row>
    <row r="141" spans="1:7" s="298" customFormat="1" ht="18" customHeight="1">
      <c r="A141" s="780" t="e">
        <f t="shared" si="8"/>
        <v>#REF!</v>
      </c>
      <c r="B141" s="296" t="s">
        <v>943</v>
      </c>
      <c r="C141" s="297" t="s">
        <v>7</v>
      </c>
      <c r="D141" s="738"/>
      <c r="E141" s="738">
        <v>5454545</v>
      </c>
      <c r="F141" s="763">
        <f t="shared" si="5"/>
        <v>5454545</v>
      </c>
      <c r="G141" s="775" t="e">
        <f>IF(SUMIF(#REF!,B141,#REF!)&lt;&gt;0,$G$5,0)</f>
        <v>#REF!</v>
      </c>
    </row>
    <row r="142" spans="1:7" s="298" customFormat="1" ht="18" hidden="1" customHeight="1">
      <c r="A142" s="780" t="e">
        <f t="shared" si="8"/>
        <v>#REF!</v>
      </c>
      <c r="B142" s="296" t="s">
        <v>945</v>
      </c>
      <c r="C142" s="297" t="s">
        <v>59</v>
      </c>
      <c r="D142" s="738"/>
      <c r="E142" s="738">
        <v>1818500</v>
      </c>
      <c r="F142" s="763">
        <f t="shared" si="5"/>
        <v>1818500</v>
      </c>
      <c r="G142" s="775" t="e">
        <f>IF(SUMIF(#REF!,B142,#REF!)&lt;&gt;0,$G$5,0)</f>
        <v>#REF!</v>
      </c>
    </row>
    <row r="143" spans="1:7" s="298" customFormat="1" ht="18" customHeight="1">
      <c r="A143" s="780" t="e">
        <f t="shared" si="8"/>
        <v>#REF!</v>
      </c>
      <c r="B143" s="296" t="s">
        <v>25</v>
      </c>
      <c r="C143" s="297" t="s">
        <v>59</v>
      </c>
      <c r="D143" s="738"/>
      <c r="E143" s="738">
        <v>1818500</v>
      </c>
      <c r="F143" s="763">
        <f t="shared" si="5"/>
        <v>1818500</v>
      </c>
      <c r="G143" s="775" t="e">
        <f>IF(SUMIF(#REF!,B143,#REF!)&lt;&gt;0,$G$5,0)</f>
        <v>#REF!</v>
      </c>
    </row>
    <row r="144" spans="1:7" s="298" customFormat="1" ht="18" hidden="1" customHeight="1">
      <c r="A144" s="780" t="e">
        <f t="shared" si="8"/>
        <v>#REF!</v>
      </c>
      <c r="B144" s="296" t="s">
        <v>983</v>
      </c>
      <c r="C144" s="297" t="s">
        <v>1592</v>
      </c>
      <c r="D144" s="738"/>
      <c r="E144" s="738">
        <v>58000</v>
      </c>
      <c r="F144" s="763">
        <f t="shared" si="5"/>
        <v>58000</v>
      </c>
      <c r="G144" s="775" t="e">
        <f>IF(SUMIF(#REF!,B144,#REF!)&lt;&gt;0,$G$5,0)</f>
        <v>#REF!</v>
      </c>
    </row>
    <row r="145" spans="1:7" s="298" customFormat="1" ht="18" hidden="1" customHeight="1">
      <c r="A145" s="780" t="e">
        <f t="shared" si="8"/>
        <v>#REF!</v>
      </c>
      <c r="B145" s="296" t="s">
        <v>965</v>
      </c>
      <c r="C145" s="297" t="s">
        <v>59</v>
      </c>
      <c r="D145" s="738"/>
      <c r="E145" s="738">
        <v>20000000</v>
      </c>
      <c r="F145" s="763">
        <f t="shared" si="5"/>
        <v>20000000</v>
      </c>
      <c r="G145" s="775" t="e">
        <f>IF(SUMIF(#REF!,B145,#REF!)&lt;&gt;0,$G$5,0)</f>
        <v>#REF!</v>
      </c>
    </row>
    <row r="146" spans="1:7" s="298" customFormat="1" ht="18" hidden="1" customHeight="1">
      <c r="A146" s="780" t="e">
        <f t="shared" si="8"/>
        <v>#REF!</v>
      </c>
      <c r="B146" s="296" t="s">
        <v>1000</v>
      </c>
      <c r="C146" s="297" t="s">
        <v>59</v>
      </c>
      <c r="D146" s="738"/>
      <c r="E146" s="785">
        <v>17273000</v>
      </c>
      <c r="F146" s="763">
        <f t="shared" ref="F146:F192" si="9">E146+D146</f>
        <v>17273000</v>
      </c>
      <c r="G146" s="775" t="e">
        <f>IF(SUMIF(#REF!,B146,#REF!)&lt;&gt;0,$G$5,0)</f>
        <v>#REF!</v>
      </c>
    </row>
    <row r="147" spans="1:7" s="298" customFormat="1" ht="18" customHeight="1">
      <c r="A147" s="780" t="e">
        <f t="shared" si="8"/>
        <v>#REF!</v>
      </c>
      <c r="B147" s="296" t="s">
        <v>944</v>
      </c>
      <c r="C147" s="297" t="s">
        <v>59</v>
      </c>
      <c r="D147" s="738"/>
      <c r="E147" s="785">
        <v>17273000</v>
      </c>
      <c r="F147" s="763">
        <f t="shared" si="9"/>
        <v>17273000</v>
      </c>
      <c r="G147" s="775" t="e">
        <f>IF(SUMIF(#REF!,B147,#REF!)&lt;&gt;0,$G$5,0)</f>
        <v>#REF!</v>
      </c>
    </row>
    <row r="148" spans="1:7" s="298" customFormat="1" ht="18" hidden="1" customHeight="1">
      <c r="A148" s="780" t="e">
        <f t="shared" si="8"/>
        <v>#REF!</v>
      </c>
      <c r="B148" s="296" t="s">
        <v>1639</v>
      </c>
      <c r="C148" s="297" t="s">
        <v>82</v>
      </c>
      <c r="D148" s="738"/>
      <c r="E148" s="738">
        <v>1000</v>
      </c>
      <c r="F148" s="763">
        <f t="shared" si="9"/>
        <v>1000</v>
      </c>
      <c r="G148" s="775" t="e">
        <f>IF(SUMIF(#REF!,B148,#REF!)&lt;&gt;0,$G$5,0)</f>
        <v>#REF!</v>
      </c>
    </row>
    <row r="149" spans="1:7" s="298" customFormat="1" ht="18" hidden="1" customHeight="1">
      <c r="A149" s="780" t="e">
        <f t="shared" si="8"/>
        <v>#REF!</v>
      </c>
      <c r="B149" s="296" t="s">
        <v>1634</v>
      </c>
      <c r="C149" s="297" t="s">
        <v>82</v>
      </c>
      <c r="D149" s="738"/>
      <c r="E149" s="738">
        <v>65000</v>
      </c>
      <c r="F149" s="763">
        <f t="shared" si="9"/>
        <v>65000</v>
      </c>
      <c r="G149" s="775" t="e">
        <f>IF(SUMIF(#REF!,B149,#REF!)&lt;&gt;0,$G$5,0)</f>
        <v>#REF!</v>
      </c>
    </row>
    <row r="150" spans="1:7" s="298" customFormat="1" ht="18" hidden="1" customHeight="1">
      <c r="A150" s="780" t="e">
        <f t="shared" si="8"/>
        <v>#REF!</v>
      </c>
      <c r="B150" s="296" t="s">
        <v>916</v>
      </c>
      <c r="C150" s="297" t="s">
        <v>7</v>
      </c>
      <c r="D150" s="738"/>
      <c r="E150" s="738">
        <v>200000</v>
      </c>
      <c r="F150" s="763">
        <f t="shared" si="9"/>
        <v>200000</v>
      </c>
      <c r="G150" s="775" t="e">
        <f>IF(SUMIF(#REF!,B150,#REF!)&lt;&gt;0,$G$5,0)</f>
        <v>#REF!</v>
      </c>
    </row>
    <row r="151" spans="1:7" s="298" customFormat="1" ht="18" hidden="1" customHeight="1">
      <c r="A151" s="780" t="e">
        <f t="shared" si="8"/>
        <v>#REF!</v>
      </c>
      <c r="B151" s="296" t="s">
        <v>1284</v>
      </c>
      <c r="C151" s="297" t="s">
        <v>7</v>
      </c>
      <c r="D151" s="738"/>
      <c r="E151" s="738">
        <v>200000</v>
      </c>
      <c r="F151" s="763">
        <f t="shared" si="9"/>
        <v>200000</v>
      </c>
      <c r="G151" s="775" t="e">
        <f>IF(SUMIF(#REF!,B151,#REF!)&lt;&gt;0,$G$5,0)</f>
        <v>#REF!</v>
      </c>
    </row>
    <row r="152" spans="1:7" s="298" customFormat="1" ht="18" hidden="1" customHeight="1">
      <c r="A152" s="780" t="e">
        <f t="shared" si="8"/>
        <v>#REF!</v>
      </c>
      <c r="B152" s="296" t="s">
        <v>933</v>
      </c>
      <c r="C152" s="297" t="s">
        <v>7</v>
      </c>
      <c r="D152" s="738"/>
      <c r="E152" s="738">
        <v>222727</v>
      </c>
      <c r="F152" s="763">
        <f t="shared" si="9"/>
        <v>222727</v>
      </c>
      <c r="G152" s="775" t="e">
        <f>IF(SUMIF(#REF!,B152,#REF!)&lt;&gt;0,$G$5,0)</f>
        <v>#REF!</v>
      </c>
    </row>
    <row r="153" spans="1:7" s="298" customFormat="1" ht="18" hidden="1" customHeight="1">
      <c r="A153" s="780" t="e">
        <f t="shared" si="8"/>
        <v>#REF!</v>
      </c>
      <c r="B153" s="296" t="s">
        <v>927</v>
      </c>
      <c r="C153" s="297" t="s">
        <v>7</v>
      </c>
      <c r="D153" s="738"/>
      <c r="E153" s="738">
        <v>200000</v>
      </c>
      <c r="F153" s="763">
        <f t="shared" si="9"/>
        <v>200000</v>
      </c>
      <c r="G153" s="775" t="e">
        <f>IF(SUMIF(#REF!,B153,#REF!)&lt;&gt;0,$G$5,0)</f>
        <v>#REF!</v>
      </c>
    </row>
    <row r="154" spans="1:7" s="298" customFormat="1" ht="18" customHeight="1">
      <c r="A154" s="780" t="e">
        <f t="shared" si="8"/>
        <v>#REF!</v>
      </c>
      <c r="B154" s="296" t="s">
        <v>962</v>
      </c>
      <c r="C154" s="297" t="s">
        <v>1593</v>
      </c>
      <c r="D154" s="738"/>
      <c r="E154" s="738">
        <v>10000</v>
      </c>
      <c r="F154" s="763">
        <f t="shared" si="9"/>
        <v>10000</v>
      </c>
      <c r="G154" s="775" t="e">
        <f>IF(SUMIF(#REF!,B154,#REF!)&lt;&gt;0,$G$5,0)</f>
        <v>#REF!</v>
      </c>
    </row>
    <row r="155" spans="1:7" s="298" customFormat="1" ht="18" hidden="1" customHeight="1">
      <c r="A155" s="780" t="e">
        <f t="shared" si="8"/>
        <v>#REF!</v>
      </c>
      <c r="B155" s="296" t="s">
        <v>1011</v>
      </c>
      <c r="C155" s="297" t="s">
        <v>7</v>
      </c>
      <c r="D155" s="738"/>
      <c r="E155" s="738">
        <f>SSVL!R8</f>
        <v>219091</v>
      </c>
      <c r="F155" s="763">
        <f t="shared" si="9"/>
        <v>219091</v>
      </c>
      <c r="G155" s="775" t="e">
        <f>IF(SUMIF(#REF!,B155,#REF!)&lt;&gt;0,$G$5,0)</f>
        <v>#REF!</v>
      </c>
    </row>
    <row r="156" spans="1:7" s="298" customFormat="1" ht="18" customHeight="1">
      <c r="A156" s="780" t="e">
        <f t="shared" si="8"/>
        <v>#REF!</v>
      </c>
      <c r="B156" s="296" t="s">
        <v>28</v>
      </c>
      <c r="C156" s="297" t="s">
        <v>7</v>
      </c>
      <c r="D156" s="738"/>
      <c r="E156" s="738">
        <f>SSVL!R9</f>
        <v>254545</v>
      </c>
      <c r="F156" s="763">
        <f t="shared" si="9"/>
        <v>254545</v>
      </c>
      <c r="G156" s="775" t="e">
        <f>IF(SUMIF(#REF!,B156,#REF!)&lt;&gt;0,$G$5,0)</f>
        <v>#REF!</v>
      </c>
    </row>
    <row r="157" spans="1:7" s="298" customFormat="1" ht="18" hidden="1" customHeight="1">
      <c r="A157" s="780" t="e">
        <f t="shared" si="8"/>
        <v>#REF!</v>
      </c>
      <c r="B157" s="296" t="s">
        <v>915</v>
      </c>
      <c r="C157" s="297" t="s">
        <v>7</v>
      </c>
      <c r="D157" s="738"/>
      <c r="E157" s="738">
        <v>236364</v>
      </c>
      <c r="F157" s="763">
        <f t="shared" si="9"/>
        <v>236364</v>
      </c>
      <c r="G157" s="775" t="e">
        <f>IF(SUMIF(#REF!,B157,#REF!)&lt;&gt;0,$G$5,0)</f>
        <v>#REF!</v>
      </c>
    </row>
    <row r="158" spans="1:7" s="298" customFormat="1" ht="18" hidden="1" customHeight="1">
      <c r="A158" s="780" t="e">
        <f t="shared" si="8"/>
        <v>#REF!</v>
      </c>
      <c r="B158" s="296" t="s">
        <v>1283</v>
      </c>
      <c r="C158" s="297" t="s">
        <v>7</v>
      </c>
      <c r="D158" s="738"/>
      <c r="E158" s="738">
        <v>236364</v>
      </c>
      <c r="F158" s="763">
        <f t="shared" si="9"/>
        <v>236364</v>
      </c>
      <c r="G158" s="775" t="e">
        <f>IF(SUMIF(#REF!,B158,#REF!)&lt;&gt;0,$G$5,0)</f>
        <v>#REF!</v>
      </c>
    </row>
    <row r="159" spans="1:7" s="298" customFormat="1" ht="18" hidden="1" customHeight="1">
      <c r="A159" s="780" t="e">
        <f t="shared" si="8"/>
        <v>#REF!</v>
      </c>
      <c r="B159" s="296" t="s">
        <v>932</v>
      </c>
      <c r="C159" s="297" t="s">
        <v>7</v>
      </c>
      <c r="D159" s="738"/>
      <c r="E159" s="738">
        <v>261818</v>
      </c>
      <c r="F159" s="763">
        <f t="shared" si="9"/>
        <v>261818</v>
      </c>
      <c r="G159" s="775" t="e">
        <f>IF(SUMIF(#REF!,B159,#REF!)&lt;&gt;0,$G$5,0)</f>
        <v>#REF!</v>
      </c>
    </row>
    <row r="160" spans="1:7" s="298" customFormat="1" ht="18" hidden="1" customHeight="1">
      <c r="A160" s="780" t="e">
        <f t="shared" si="8"/>
        <v>#REF!</v>
      </c>
      <c r="B160" s="296" t="s">
        <v>926</v>
      </c>
      <c r="C160" s="297" t="s">
        <v>7</v>
      </c>
      <c r="D160" s="738"/>
      <c r="E160" s="738">
        <v>236364</v>
      </c>
      <c r="F160" s="763">
        <f t="shared" si="9"/>
        <v>236364</v>
      </c>
      <c r="G160" s="775" t="e">
        <f>IF(SUMIF(#REF!,B160,#REF!)&lt;&gt;0,$G$5,0)</f>
        <v>#REF!</v>
      </c>
    </row>
    <row r="161" spans="1:7" s="298" customFormat="1" ht="18" customHeight="1">
      <c r="A161" s="780" t="e">
        <f t="shared" si="8"/>
        <v>#REF!</v>
      </c>
      <c r="B161" s="296" t="s">
        <v>79</v>
      </c>
      <c r="C161" s="297" t="s">
        <v>7</v>
      </c>
      <c r="D161" s="738"/>
      <c r="E161" s="738">
        <f>SSVL!R10</f>
        <v>227272</v>
      </c>
      <c r="F161" s="763">
        <f t="shared" si="9"/>
        <v>227272</v>
      </c>
      <c r="G161" s="775" t="e">
        <f>IF(SUMIF(#REF!,B161,#REF!)&lt;&gt;0,$G$5,0)</f>
        <v>#REF!</v>
      </c>
    </row>
    <row r="162" spans="1:7" s="298" customFormat="1" ht="18" hidden="1" customHeight="1">
      <c r="A162" s="780" t="e">
        <f t="shared" si="8"/>
        <v>#REF!</v>
      </c>
      <c r="B162" s="296" t="s">
        <v>553</v>
      </c>
      <c r="C162" s="297" t="s">
        <v>7</v>
      </c>
      <c r="D162" s="738"/>
      <c r="E162" s="738">
        <f>SSVL!R11</f>
        <v>222727</v>
      </c>
      <c r="F162" s="763">
        <f t="shared" si="9"/>
        <v>222727</v>
      </c>
      <c r="G162" s="775" t="e">
        <f>IF(SUMIF(#REF!,B162,#REF!)&lt;&gt;0,$G$5,0)</f>
        <v>#REF!</v>
      </c>
    </row>
    <row r="163" spans="1:7" s="298" customFormat="1" ht="18" hidden="1" customHeight="1">
      <c r="A163" s="780" t="e">
        <f t="shared" si="8"/>
        <v>#REF!</v>
      </c>
      <c r="B163" s="296" t="s">
        <v>1621</v>
      </c>
      <c r="C163" s="297" t="s">
        <v>7</v>
      </c>
      <c r="D163" s="738"/>
      <c r="E163" s="738">
        <f>SSVL!R11</f>
        <v>222727</v>
      </c>
      <c r="F163" s="763">
        <f t="shared" si="9"/>
        <v>222727</v>
      </c>
      <c r="G163" s="775" t="e">
        <f>IF(SUMIF(#REF!,B163,#REF!)&lt;&gt;0,$G$5,0)</f>
        <v>#REF!</v>
      </c>
    </row>
    <row r="164" spans="1:7" s="298" customFormat="1" ht="18" customHeight="1">
      <c r="A164" s="780" t="e">
        <f t="shared" si="8"/>
        <v>#REF!</v>
      </c>
      <c r="B164" s="296" t="s">
        <v>575</v>
      </c>
      <c r="C164" s="297" t="s">
        <v>7</v>
      </c>
      <c r="D164" s="738"/>
      <c r="E164" s="738">
        <f>SSVL!R11</f>
        <v>222727</v>
      </c>
      <c r="F164" s="763">
        <f t="shared" si="9"/>
        <v>222727</v>
      </c>
      <c r="G164" s="775" t="e">
        <f>IF(SUMIF(#REF!,B164,#REF!)&lt;&gt;0,$G$5,0)</f>
        <v>#REF!</v>
      </c>
    </row>
    <row r="165" spans="1:7" s="298" customFormat="1" ht="18" customHeight="1">
      <c r="A165" s="780" t="e">
        <f t="shared" si="8"/>
        <v>#REF!</v>
      </c>
      <c r="B165" s="296" t="s">
        <v>476</v>
      </c>
      <c r="C165" s="297" t="s">
        <v>7</v>
      </c>
      <c r="D165" s="738"/>
      <c r="E165" s="738">
        <f>SSVL!R12</f>
        <v>115454</v>
      </c>
      <c r="F165" s="763">
        <f t="shared" si="9"/>
        <v>115454</v>
      </c>
      <c r="G165" s="775" t="e">
        <f>IF(SUMIF(#REF!,B165,#REF!)&lt;&gt;0,$G$5,0)</f>
        <v>#REF!</v>
      </c>
    </row>
    <row r="166" spans="1:7" s="298" customFormat="1" ht="18" hidden="1" customHeight="1">
      <c r="A166" s="780" t="e">
        <f t="shared" si="8"/>
        <v>#REF!</v>
      </c>
      <c r="B166" s="296" t="s">
        <v>917</v>
      </c>
      <c r="C166" s="297" t="s">
        <v>7</v>
      </c>
      <c r="D166" s="738"/>
      <c r="E166" s="738">
        <v>200000</v>
      </c>
      <c r="F166" s="763">
        <f t="shared" si="9"/>
        <v>200000</v>
      </c>
      <c r="G166" s="775" t="e">
        <f>IF(SUMIF(#REF!,B166,#REF!)&lt;&gt;0,$G$5,0)</f>
        <v>#REF!</v>
      </c>
    </row>
    <row r="167" spans="1:7" s="298" customFormat="1" ht="18" hidden="1" customHeight="1">
      <c r="A167" s="780" t="e">
        <f t="shared" si="8"/>
        <v>#REF!</v>
      </c>
      <c r="B167" s="296" t="s">
        <v>1285</v>
      </c>
      <c r="C167" s="297" t="s">
        <v>7</v>
      </c>
      <c r="D167" s="738"/>
      <c r="E167" s="738">
        <v>200000</v>
      </c>
      <c r="F167" s="763">
        <f t="shared" si="9"/>
        <v>200000</v>
      </c>
      <c r="G167" s="775" t="e">
        <f>IF(SUMIF(#REF!,B167,#REF!)&lt;&gt;0,$G$5,0)</f>
        <v>#REF!</v>
      </c>
    </row>
    <row r="168" spans="1:7" s="298" customFormat="1" ht="18" hidden="1" customHeight="1">
      <c r="A168" s="780" t="e">
        <f t="shared" si="8"/>
        <v>#REF!</v>
      </c>
      <c r="B168" s="296" t="s">
        <v>934</v>
      </c>
      <c r="C168" s="297" t="s">
        <v>7</v>
      </c>
      <c r="D168" s="738"/>
      <c r="E168" s="738">
        <v>222727</v>
      </c>
      <c r="F168" s="763">
        <f t="shared" si="9"/>
        <v>222727</v>
      </c>
      <c r="G168" s="775" t="e">
        <f>IF(SUMIF(#REF!,B168,#REF!)&lt;&gt;0,$G$5,0)</f>
        <v>#REF!</v>
      </c>
    </row>
    <row r="169" spans="1:7" s="298" customFormat="1" ht="18" hidden="1" customHeight="1">
      <c r="A169" s="780" t="e">
        <f t="shared" si="8"/>
        <v>#REF!</v>
      </c>
      <c r="B169" s="296" t="s">
        <v>928</v>
      </c>
      <c r="C169" s="297" t="s">
        <v>7</v>
      </c>
      <c r="D169" s="738"/>
      <c r="E169" s="738">
        <v>200000</v>
      </c>
      <c r="F169" s="763">
        <f t="shared" si="9"/>
        <v>200000</v>
      </c>
      <c r="G169" s="775" t="e">
        <f>IF(SUMIF(#REF!,B169,#REF!)&lt;&gt;0,$G$5,0)</f>
        <v>#REF!</v>
      </c>
    </row>
    <row r="170" spans="1:7" s="298" customFormat="1" ht="18" customHeight="1">
      <c r="A170" s="780" t="e">
        <f t="shared" si="8"/>
        <v>#REF!</v>
      </c>
      <c r="B170" s="296" t="s">
        <v>964</v>
      </c>
      <c r="C170" s="297" t="s">
        <v>963</v>
      </c>
      <c r="D170" s="738"/>
      <c r="E170" s="738">
        <v>15000</v>
      </c>
      <c r="F170" s="763">
        <f t="shared" si="9"/>
        <v>15000</v>
      </c>
      <c r="G170" s="775" t="e">
        <f>IF(SUMIF(#REF!,B170,#REF!)&lt;&gt;0,$G$5,0)</f>
        <v>#REF!</v>
      </c>
    </row>
    <row r="171" spans="1:7" s="298" customFormat="1" ht="18" hidden="1" customHeight="1">
      <c r="A171" s="780" t="e">
        <f t="shared" si="8"/>
        <v>#REF!</v>
      </c>
      <c r="B171" s="296" t="s">
        <v>948</v>
      </c>
      <c r="C171" s="297" t="s">
        <v>577</v>
      </c>
      <c r="D171" s="738"/>
      <c r="E171" s="738">
        <v>338700</v>
      </c>
      <c r="F171" s="763">
        <f t="shared" si="9"/>
        <v>338700</v>
      </c>
      <c r="G171" s="775" t="e">
        <f>IF(SUMIF(#REF!,B171,#REF!)&lt;&gt;0,$G$5,0)</f>
        <v>#REF!</v>
      </c>
    </row>
    <row r="172" spans="1:7" s="298" customFormat="1" ht="18" hidden="1" customHeight="1">
      <c r="A172" s="780" t="e">
        <f t="shared" si="8"/>
        <v>#REF!</v>
      </c>
      <c r="B172" s="296" t="s">
        <v>1598</v>
      </c>
      <c r="C172" s="297" t="s">
        <v>82</v>
      </c>
      <c r="D172" s="738"/>
      <c r="E172" s="738">
        <v>1800000</v>
      </c>
      <c r="F172" s="763">
        <f t="shared" si="9"/>
        <v>1800000</v>
      </c>
      <c r="G172" s="775" t="e">
        <f>IF(SUMIF(#REF!,B172,#REF!)&lt;&gt;0,$G$5,0)</f>
        <v>#REF!</v>
      </c>
    </row>
    <row r="173" spans="1:7" s="298" customFormat="1" ht="18" hidden="1" customHeight="1">
      <c r="A173" s="780" t="e">
        <f t="shared" si="8"/>
        <v>#REF!</v>
      </c>
      <c r="B173" s="296" t="s">
        <v>1618</v>
      </c>
      <c r="C173" s="297" t="s">
        <v>82</v>
      </c>
      <c r="D173" s="738"/>
      <c r="E173" s="738">
        <v>1200000</v>
      </c>
      <c r="F173" s="763">
        <f t="shared" si="9"/>
        <v>1200000</v>
      </c>
      <c r="G173" s="775" t="e">
        <f>IF(SUMIF(#REF!,B173,#REF!)&lt;&gt;0,$G$5,0)</f>
        <v>#REF!</v>
      </c>
    </row>
    <row r="174" spans="1:7" s="298" customFormat="1" ht="18" hidden="1" customHeight="1">
      <c r="A174" s="780" t="e">
        <f t="shared" si="8"/>
        <v>#REF!</v>
      </c>
      <c r="B174" s="296" t="s">
        <v>994</v>
      </c>
      <c r="C174" s="297" t="s">
        <v>7</v>
      </c>
      <c r="D174" s="738"/>
      <c r="E174" s="785">
        <v>21000</v>
      </c>
      <c r="F174" s="763">
        <f t="shared" si="9"/>
        <v>21000</v>
      </c>
      <c r="G174" s="775" t="e">
        <f>IF(SUMIF(#REF!,B174,#REF!)&lt;&gt;0,$G$5,0)</f>
        <v>#REF!</v>
      </c>
    </row>
    <row r="175" spans="1:7" s="298" customFormat="1" ht="18" hidden="1" customHeight="1">
      <c r="A175" s="780" t="e">
        <f t="shared" si="8"/>
        <v>#REF!</v>
      </c>
      <c r="B175" s="296" t="s">
        <v>601</v>
      </c>
      <c r="C175" s="297" t="s">
        <v>7</v>
      </c>
      <c r="D175" s="738"/>
      <c r="E175" s="785">
        <v>41000</v>
      </c>
      <c r="F175" s="763">
        <f t="shared" si="9"/>
        <v>41000</v>
      </c>
      <c r="G175" s="775" t="e">
        <f>IF(SUMIF(#REF!,B175,#REF!)&lt;&gt;0,$G$5,0)</f>
        <v>#REF!</v>
      </c>
    </row>
    <row r="176" spans="1:7" s="298" customFormat="1" ht="18" hidden="1" customHeight="1">
      <c r="A176" s="780" t="e">
        <f t="shared" si="8"/>
        <v>#REF!</v>
      </c>
      <c r="B176" s="296" t="s">
        <v>978</v>
      </c>
      <c r="C176" s="297" t="s">
        <v>577</v>
      </c>
      <c r="D176" s="738"/>
      <c r="E176" s="738">
        <v>150000</v>
      </c>
      <c r="F176" s="763">
        <f t="shared" si="9"/>
        <v>150000</v>
      </c>
      <c r="G176" s="775" t="e">
        <f>IF(SUMIF(#REF!,B176,#REF!)&lt;&gt;0,$G$5,0)</f>
        <v>#REF!</v>
      </c>
    </row>
    <row r="177" spans="1:7" s="298" customFormat="1" ht="18" hidden="1" customHeight="1">
      <c r="A177" s="780" t="e">
        <f t="shared" si="8"/>
        <v>#REF!</v>
      </c>
      <c r="B177" s="296" t="s">
        <v>953</v>
      </c>
      <c r="C177" s="297" t="s">
        <v>577</v>
      </c>
      <c r="D177" s="738"/>
      <c r="E177" s="738">
        <v>39800</v>
      </c>
      <c r="F177" s="763">
        <f t="shared" si="9"/>
        <v>39800</v>
      </c>
      <c r="G177" s="775" t="e">
        <f>IF(SUMIF(#REF!,B177,#REF!)&lt;&gt;0,$G$5,0)</f>
        <v>#REF!</v>
      </c>
    </row>
    <row r="178" spans="1:7" s="298" customFormat="1" ht="18" hidden="1" customHeight="1">
      <c r="A178" s="780" t="e">
        <f t="shared" si="8"/>
        <v>#REF!</v>
      </c>
      <c r="B178" s="296" t="s">
        <v>1611</v>
      </c>
      <c r="C178" s="297" t="s">
        <v>129</v>
      </c>
      <c r="D178" s="738"/>
      <c r="E178" s="738">
        <v>500000</v>
      </c>
      <c r="F178" s="763">
        <f t="shared" si="9"/>
        <v>500000</v>
      </c>
      <c r="G178" s="775" t="e">
        <f>IF(SUMIF(#REF!,B178,#REF!)&lt;&gt;0,$G$5,0)</f>
        <v>#REF!</v>
      </c>
    </row>
    <row r="179" spans="1:7" s="298" customFormat="1" ht="18" hidden="1" customHeight="1">
      <c r="A179" s="780" t="e">
        <f t="shared" si="8"/>
        <v>#REF!</v>
      </c>
      <c r="B179" s="296" t="s">
        <v>1615</v>
      </c>
      <c r="C179" s="297" t="s">
        <v>129</v>
      </c>
      <c r="D179" s="738"/>
      <c r="E179" s="738">
        <v>30000</v>
      </c>
      <c r="F179" s="763">
        <f t="shared" si="9"/>
        <v>30000</v>
      </c>
      <c r="G179" s="775" t="e">
        <f>IF(SUMIF(#REF!,B179,#REF!)&lt;&gt;0,$G$5,0)</f>
        <v>#REF!</v>
      </c>
    </row>
    <row r="180" spans="1:7" s="298" customFormat="1" ht="18" hidden="1" customHeight="1">
      <c r="A180" s="780" t="e">
        <f t="shared" si="8"/>
        <v>#REF!</v>
      </c>
      <c r="B180" s="296" t="s">
        <v>1594</v>
      </c>
      <c r="C180" s="297" t="s">
        <v>129</v>
      </c>
      <c r="D180" s="738"/>
      <c r="E180" s="738">
        <v>40000</v>
      </c>
      <c r="F180" s="763">
        <f t="shared" si="9"/>
        <v>40000</v>
      </c>
      <c r="G180" s="775" t="e">
        <f>IF(SUMIF(#REF!,B180,#REF!)&lt;&gt;0,$G$5,0)</f>
        <v>#REF!</v>
      </c>
    </row>
    <row r="181" spans="1:7" s="298" customFormat="1" ht="18" hidden="1" customHeight="1">
      <c r="A181" s="780" t="e">
        <f t="shared" si="8"/>
        <v>#REF!</v>
      </c>
      <c r="B181" s="296" t="s">
        <v>966</v>
      </c>
      <c r="C181" s="297" t="s">
        <v>82</v>
      </c>
      <c r="D181" s="738"/>
      <c r="E181" s="738"/>
      <c r="F181" s="763">
        <f t="shared" si="9"/>
        <v>0</v>
      </c>
      <c r="G181" s="775" t="e">
        <f>IF(SUMIF(#REF!,B181,#REF!)&lt;&gt;0,$G$5,0)</f>
        <v>#REF!</v>
      </c>
    </row>
    <row r="182" spans="1:7" s="298" customFormat="1" ht="18" hidden="1" customHeight="1">
      <c r="A182" s="780" t="e">
        <f t="shared" si="8"/>
        <v>#REF!</v>
      </c>
      <c r="B182" s="296" t="s">
        <v>967</v>
      </c>
      <c r="C182" s="297" t="s">
        <v>82</v>
      </c>
      <c r="D182" s="738"/>
      <c r="E182" s="738"/>
      <c r="F182" s="763">
        <f t="shared" si="9"/>
        <v>0</v>
      </c>
      <c r="G182" s="775" t="e">
        <f>IF(SUMIF(#REF!,B182,#REF!)&lt;&gt;0,$G$5,0)</f>
        <v>#REF!</v>
      </c>
    </row>
    <row r="183" spans="1:7" s="298" customFormat="1" ht="18" hidden="1" customHeight="1">
      <c r="A183" s="780" t="e">
        <f t="shared" si="8"/>
        <v>#REF!</v>
      </c>
      <c r="B183" s="296" t="s">
        <v>968</v>
      </c>
      <c r="C183" s="297" t="s">
        <v>82</v>
      </c>
      <c r="D183" s="738"/>
      <c r="E183" s="738"/>
      <c r="F183" s="763">
        <f t="shared" si="9"/>
        <v>0</v>
      </c>
      <c r="G183" s="775" t="e">
        <f>IF(SUMIF(#REF!,B183,#REF!)&lt;&gt;0,$G$5,0)</f>
        <v>#REF!</v>
      </c>
    </row>
    <row r="184" spans="1:7" s="298" customFormat="1" ht="18" hidden="1" customHeight="1">
      <c r="A184" s="780" t="e">
        <f t="shared" si="8"/>
        <v>#REF!</v>
      </c>
      <c r="B184" s="296" t="s">
        <v>969</v>
      </c>
      <c r="C184" s="297" t="s">
        <v>82</v>
      </c>
      <c r="D184" s="738"/>
      <c r="E184" s="738"/>
      <c r="F184" s="763">
        <f t="shared" si="9"/>
        <v>0</v>
      </c>
      <c r="G184" s="775" t="e">
        <f>IF(SUMIF(#REF!,B184,#REF!)&lt;&gt;0,$G$5,0)</f>
        <v>#REF!</v>
      </c>
    </row>
    <row r="185" spans="1:7" s="298" customFormat="1" ht="18" hidden="1" customHeight="1">
      <c r="A185" s="780" t="e">
        <f t="shared" si="8"/>
        <v>#REF!</v>
      </c>
      <c r="B185" s="296" t="s">
        <v>1616</v>
      </c>
      <c r="C185" s="297" t="s">
        <v>129</v>
      </c>
      <c r="D185" s="738"/>
      <c r="E185" s="738">
        <v>30000</v>
      </c>
      <c r="F185" s="763">
        <f t="shared" si="9"/>
        <v>30000</v>
      </c>
      <c r="G185" s="775" t="e">
        <f>IF(SUMIF(#REF!,B185,#REF!)&lt;&gt;0,$G$5,0)</f>
        <v>#REF!</v>
      </c>
    </row>
    <row r="186" spans="1:7" s="298" customFormat="1" ht="18" hidden="1" customHeight="1">
      <c r="A186" s="780" t="e">
        <f t="shared" si="8"/>
        <v>#REF!</v>
      </c>
      <c r="B186" s="296" t="s">
        <v>1595</v>
      </c>
      <c r="C186" s="297" t="s">
        <v>129</v>
      </c>
      <c r="D186" s="738"/>
      <c r="E186" s="738">
        <v>40000</v>
      </c>
      <c r="F186" s="763">
        <f t="shared" si="9"/>
        <v>40000</v>
      </c>
      <c r="G186" s="775" t="e">
        <f>IF(SUMIF(#REF!,B186,#REF!)&lt;&gt;0,$G$5,0)</f>
        <v>#REF!</v>
      </c>
    </row>
    <row r="187" spans="1:7" s="298" customFormat="1" ht="18" hidden="1" customHeight="1">
      <c r="A187" s="780" t="e">
        <f t="shared" si="8"/>
        <v>#REF!</v>
      </c>
      <c r="B187" s="296" t="s">
        <v>1652</v>
      </c>
      <c r="C187" s="297" t="s">
        <v>129</v>
      </c>
      <c r="D187" s="738"/>
      <c r="E187" s="738">
        <v>175091</v>
      </c>
      <c r="F187" s="763">
        <f t="shared" si="9"/>
        <v>175091</v>
      </c>
      <c r="G187" s="775" t="e">
        <f>IF(SUMIF(#REF!,B187,#REF!)&lt;&gt;0,$G$5,0)</f>
        <v>#REF!</v>
      </c>
    </row>
    <row r="188" spans="1:7" s="298" customFormat="1" ht="18" hidden="1" customHeight="1">
      <c r="A188" s="780" t="e">
        <f t="shared" si="8"/>
        <v>#REF!</v>
      </c>
      <c r="B188" s="296" t="s">
        <v>960</v>
      </c>
      <c r="C188" s="297" t="s">
        <v>129</v>
      </c>
      <c r="D188" s="738"/>
      <c r="E188" s="738">
        <v>16091</v>
      </c>
      <c r="F188" s="763">
        <f t="shared" si="9"/>
        <v>16091</v>
      </c>
      <c r="G188" s="775" t="e">
        <f>IF(SUMIF(#REF!,B188,#REF!)&lt;&gt;0,$G$5,0)</f>
        <v>#REF!</v>
      </c>
    </row>
    <row r="189" spans="1:7" s="298" customFormat="1" ht="18" customHeight="1">
      <c r="A189" s="780" t="e">
        <f t="shared" si="8"/>
        <v>#REF!</v>
      </c>
      <c r="B189" s="296" t="s">
        <v>993</v>
      </c>
      <c r="C189" s="297" t="s">
        <v>129</v>
      </c>
      <c r="D189" s="738"/>
      <c r="E189" s="738">
        <v>24045</v>
      </c>
      <c r="F189" s="763">
        <f t="shared" si="9"/>
        <v>24045</v>
      </c>
      <c r="G189" s="775" t="e">
        <f>IF(SUMIF(#REF!,B189,#REF!)&lt;&gt;0,$G$5,0)</f>
        <v>#REF!</v>
      </c>
    </row>
    <row r="190" spans="1:7" s="298" customFormat="1" ht="18" hidden="1" customHeight="1">
      <c r="A190" s="780" t="e">
        <f t="shared" si="8"/>
        <v>#REF!</v>
      </c>
      <c r="B190" s="296" t="s">
        <v>1614</v>
      </c>
      <c r="C190" s="297" t="s">
        <v>129</v>
      </c>
      <c r="D190" s="738"/>
      <c r="E190" s="738">
        <v>8273</v>
      </c>
      <c r="F190" s="763">
        <f t="shared" si="9"/>
        <v>8273</v>
      </c>
      <c r="G190" s="775" t="e">
        <f>IF(SUMIF(#REF!,B190,#REF!)&lt;&gt;0,$G$5,0)</f>
        <v>#REF!</v>
      </c>
    </row>
    <row r="191" spans="1:7" s="298" customFormat="1" ht="18" hidden="1" customHeight="1">
      <c r="A191" s="780" t="e">
        <f t="shared" si="8"/>
        <v>#REF!</v>
      </c>
      <c r="B191" s="296" t="s">
        <v>1682</v>
      </c>
      <c r="C191" s="297" t="s">
        <v>129</v>
      </c>
      <c r="D191" s="738"/>
      <c r="E191" s="738">
        <v>170136</v>
      </c>
      <c r="F191" s="763">
        <f t="shared" ref="F191" si="10">E191+D191</f>
        <v>170136</v>
      </c>
      <c r="G191" s="775" t="e">
        <f>IF(SUMIF(#REF!,B191,#REF!)&lt;&gt;0,$G$5,0)</f>
        <v>#REF!</v>
      </c>
    </row>
    <row r="192" spans="1:7" s="298" customFormat="1" ht="18" hidden="1" customHeight="1">
      <c r="A192" s="780" t="e">
        <f t="shared" si="8"/>
        <v>#REF!</v>
      </c>
      <c r="B192" s="296" t="s">
        <v>1653</v>
      </c>
      <c r="C192" s="297" t="s">
        <v>129</v>
      </c>
      <c r="D192" s="738"/>
      <c r="E192" s="738">
        <v>291045</v>
      </c>
      <c r="F192" s="763">
        <f t="shared" si="9"/>
        <v>291045</v>
      </c>
      <c r="G192" s="775" t="e">
        <f>IF(SUMIF(#REF!,B192,#REF!)&lt;&gt;0,$G$5,0)</f>
        <v>#REF!</v>
      </c>
    </row>
    <row r="193" spans="1:7" s="298" customFormat="1" ht="18" customHeight="1" thickBot="1">
      <c r="A193" s="781"/>
      <c r="B193" s="751"/>
      <c r="C193" s="752"/>
      <c r="D193" s="753"/>
      <c r="E193" s="753"/>
      <c r="F193" s="764"/>
      <c r="G193" s="775">
        <f>G5</f>
        <v>1</v>
      </c>
    </row>
  </sheetData>
  <autoFilter ref="A5:H193" xr:uid="{00000000-0009-0000-0000-000003010000}">
    <filterColumn colId="6">
      <filters>
        <filter val="1"/>
      </filters>
    </filterColumn>
  </autoFilter>
  <mergeCells count="3">
    <mergeCell ref="A1:F1"/>
    <mergeCell ref="A2:F2"/>
    <mergeCell ref="A3:F3"/>
  </mergeCells>
  <pageMargins left="0.78" right="0.25" top="0.27" bottom="0.34" header="0.25" footer="0.24"/>
  <pageSetup paperSize="9" orientation="portrait" r:id="rId1"/>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55BD5-7C17-43DD-B5B6-F892B4EC3EA8}">
  <dimension ref="A1:R28"/>
  <sheetViews>
    <sheetView topLeftCell="C4" workbookViewId="0">
      <selection activeCell="J23" sqref="J23"/>
    </sheetView>
  </sheetViews>
  <sheetFormatPr defaultRowHeight="15"/>
  <cols>
    <col min="1" max="1" width="4.25" style="251" customWidth="1"/>
    <col min="2" max="2" width="25.75" style="185" customWidth="1"/>
    <col min="3" max="3" width="4.25" style="185" customWidth="1"/>
    <col min="4" max="4" width="9.625" style="185" customWidth="1"/>
    <col min="5" max="5" width="10" style="185" customWidth="1"/>
    <col min="6" max="6" width="9.75" style="185" customWidth="1"/>
    <col min="7" max="7" width="9.375" style="185" customWidth="1"/>
    <col min="8" max="13" width="10" style="185" customWidth="1"/>
    <col min="14" max="15" width="9.875" style="185" customWidth="1"/>
    <col min="16" max="16" width="17.125" style="185" customWidth="1"/>
    <col min="17" max="17" width="12" style="185" customWidth="1"/>
    <col min="18" max="18" width="13.375" style="185" customWidth="1"/>
    <col min="19" max="16384" width="9" style="185"/>
  </cols>
  <sheetData>
    <row r="1" spans="1:18" ht="21.75">
      <c r="A1" s="1213" t="s">
        <v>1003</v>
      </c>
      <c r="B1" s="1213"/>
      <c r="C1" s="1213"/>
      <c r="D1" s="1213"/>
      <c r="E1" s="1213"/>
      <c r="F1" s="1213"/>
      <c r="G1" s="1213"/>
      <c r="H1" s="1213"/>
      <c r="I1" s="1213"/>
      <c r="J1" s="1213"/>
      <c r="K1" s="1213"/>
      <c r="L1" s="1213"/>
      <c r="M1" s="1213"/>
      <c r="N1" s="1213"/>
      <c r="O1" s="1213"/>
      <c r="P1" s="1213"/>
    </row>
    <row r="2" spans="1:18" ht="16.5" thickBot="1">
      <c r="A2" s="186" t="s">
        <v>189</v>
      </c>
      <c r="B2" s="187" t="s">
        <v>1004</v>
      </c>
    </row>
    <row r="3" spans="1:18" ht="15.75">
      <c r="A3" s="1214" t="s">
        <v>136</v>
      </c>
      <c r="B3" s="1216" t="s">
        <v>168</v>
      </c>
      <c r="C3" s="1216" t="s">
        <v>142</v>
      </c>
      <c r="D3" s="1218" t="s">
        <v>1860</v>
      </c>
      <c r="E3" s="1218"/>
      <c r="F3" s="1218"/>
      <c r="G3" s="1219" t="s">
        <v>1824</v>
      </c>
      <c r="H3" s="1219"/>
      <c r="I3" s="1219"/>
      <c r="J3" s="1220" t="s">
        <v>1823</v>
      </c>
      <c r="K3" s="1220"/>
      <c r="L3" s="1220"/>
      <c r="M3" s="1220" t="s">
        <v>1822</v>
      </c>
      <c r="N3" s="1220"/>
      <c r="O3" s="1220"/>
      <c r="P3" s="1221" t="s">
        <v>1005</v>
      </c>
      <c r="Q3" s="1211" t="s">
        <v>1006</v>
      </c>
      <c r="R3" s="1212"/>
    </row>
    <row r="4" spans="1:18" ht="30">
      <c r="A4" s="1215"/>
      <c r="B4" s="1217"/>
      <c r="C4" s="1217"/>
      <c r="D4" s="188" t="s">
        <v>1007</v>
      </c>
      <c r="E4" s="188" t="s">
        <v>1008</v>
      </c>
      <c r="F4" s="188" t="s">
        <v>1009</v>
      </c>
      <c r="G4" s="189" t="s">
        <v>1007</v>
      </c>
      <c r="H4" s="189" t="s">
        <v>1008</v>
      </c>
      <c r="I4" s="189" t="s">
        <v>1009</v>
      </c>
      <c r="J4" s="190" t="s">
        <v>1007</v>
      </c>
      <c r="K4" s="190" t="s">
        <v>1008</v>
      </c>
      <c r="L4" s="190" t="s">
        <v>1009</v>
      </c>
      <c r="M4" s="190" t="s">
        <v>1007</v>
      </c>
      <c r="N4" s="190" t="s">
        <v>1008</v>
      </c>
      <c r="O4" s="190" t="s">
        <v>1009</v>
      </c>
      <c r="P4" s="1210"/>
      <c r="Q4" s="192" t="s">
        <v>1010</v>
      </c>
      <c r="R4" s="191" t="s">
        <v>1008</v>
      </c>
    </row>
    <row r="5" spans="1:18" ht="18" customHeight="1">
      <c r="A5" s="193">
        <v>1</v>
      </c>
      <c r="B5" s="194" t="s">
        <v>585</v>
      </c>
      <c r="C5" s="195" t="s">
        <v>7</v>
      </c>
      <c r="D5" s="196" t="e">
        <f>#REF!</f>
        <v>#REF!</v>
      </c>
      <c r="E5" s="210">
        <v>177273</v>
      </c>
      <c r="F5" s="198" t="e">
        <f t="shared" ref="F5:F12" si="0">D5+E5</f>
        <v>#REF!</v>
      </c>
      <c r="G5" s="199" t="e">
        <f>#REF!</f>
        <v>#REF!</v>
      </c>
      <c r="H5" s="200">
        <v>145454</v>
      </c>
      <c r="I5" s="201" t="e">
        <f t="shared" ref="I5:I12" si="1">G5+H5</f>
        <v>#REF!</v>
      </c>
      <c r="J5" s="202" t="e">
        <f>#REF!</f>
        <v>#REF!</v>
      </c>
      <c r="K5" s="203">
        <v>163636</v>
      </c>
      <c r="L5" s="204"/>
      <c r="M5" s="202" t="e">
        <f>#REF!</f>
        <v>#REF!</v>
      </c>
      <c r="N5" s="203">
        <v>177272</v>
      </c>
      <c r="O5" s="204" t="e">
        <f t="shared" ref="O5" si="2">M5+N5</f>
        <v>#REF!</v>
      </c>
      <c r="P5" s="205" t="e">
        <f>IF(MIN(F5,I5,L5,O5)=F5,$D$3,IF(MIN(F5,I5,L5,O5)=I5,$G$3,IF(MIN(F5,I5,L5,O5)=L5,$J$3,IF(MIN(F5,I5,L5,O5)=O5,$M$3,""))))</f>
        <v>#REF!</v>
      </c>
      <c r="Q5" s="206" t="e">
        <f t="shared" ref="Q5:R12" si="3">IF($P$13=$D$3,D5,IF($P$13=$G$3,G5,IF($P$13=$J$3,J5,IF($P$13=$M$3,M5,0))))</f>
        <v>#REF!</v>
      </c>
      <c r="R5" s="206">
        <f t="shared" si="3"/>
        <v>177272</v>
      </c>
    </row>
    <row r="6" spans="1:18" ht="18" customHeight="1">
      <c r="A6" s="207">
        <v>2</v>
      </c>
      <c r="B6" s="208" t="s">
        <v>912</v>
      </c>
      <c r="C6" s="209" t="s">
        <v>7</v>
      </c>
      <c r="D6" s="196" t="e">
        <f>#REF!</f>
        <v>#REF!</v>
      </c>
      <c r="E6" s="210">
        <v>136364</v>
      </c>
      <c r="F6" s="211" t="e">
        <f t="shared" si="0"/>
        <v>#REF!</v>
      </c>
      <c r="G6" s="199" t="e">
        <f>#REF!</f>
        <v>#REF!</v>
      </c>
      <c r="H6" s="215">
        <v>127273</v>
      </c>
      <c r="I6" s="212" t="e">
        <f t="shared" si="1"/>
        <v>#REF!</v>
      </c>
      <c r="J6" s="202" t="e">
        <f>#REF!</f>
        <v>#REF!</v>
      </c>
      <c r="K6" s="213">
        <v>145454</v>
      </c>
      <c r="L6" s="214"/>
      <c r="M6" s="202" t="e">
        <f>#REF!</f>
        <v>#REF!</v>
      </c>
      <c r="N6" s="203">
        <v>163636</v>
      </c>
      <c r="O6" s="214" t="e">
        <f>M6+N6</f>
        <v>#REF!</v>
      </c>
      <c r="P6" s="205" t="e">
        <f t="shared" ref="P6:P12" si="4">IF(MIN(F6,I6,L6,O6)=F6,$D$3,IF(MIN(F6,I6,L6,O6)=I6,$G$3,IF(MIN(F6,I6,L6,O6)=L6,$J$3,IF(MIN(F6,I6,L6,O6)=O6,$M$3,""))))</f>
        <v>#REF!</v>
      </c>
      <c r="Q6" s="206" t="e">
        <f t="shared" si="3"/>
        <v>#REF!</v>
      </c>
      <c r="R6" s="206">
        <f t="shared" si="3"/>
        <v>163636</v>
      </c>
    </row>
    <row r="7" spans="1:18" ht="18" customHeight="1">
      <c r="A7" s="207">
        <v>3</v>
      </c>
      <c r="B7" s="208" t="s">
        <v>961</v>
      </c>
      <c r="C7" s="209" t="s">
        <v>7</v>
      </c>
      <c r="D7" s="196" t="e">
        <f>#REF!</f>
        <v>#REF!</v>
      </c>
      <c r="E7" s="210">
        <v>86364</v>
      </c>
      <c r="F7" s="211" t="e">
        <f t="shared" si="0"/>
        <v>#REF!</v>
      </c>
      <c r="G7" s="199" t="e">
        <f>#REF!</f>
        <v>#REF!</v>
      </c>
      <c r="H7" s="215">
        <v>127273</v>
      </c>
      <c r="I7" s="212" t="e">
        <f t="shared" si="1"/>
        <v>#REF!</v>
      </c>
      <c r="J7" s="202" t="e">
        <f>#REF!</f>
        <v>#REF!</v>
      </c>
      <c r="K7" s="213">
        <v>109091</v>
      </c>
      <c r="L7" s="214"/>
      <c r="M7" s="202" t="e">
        <f>#REF!</f>
        <v>#REF!</v>
      </c>
      <c r="N7" s="213">
        <v>145454</v>
      </c>
      <c r="O7" s="214" t="e">
        <f t="shared" ref="O7:O12" si="5">M7+N7</f>
        <v>#REF!</v>
      </c>
      <c r="P7" s="205" t="e">
        <f t="shared" si="4"/>
        <v>#REF!</v>
      </c>
      <c r="Q7" s="206" t="e">
        <f t="shared" si="3"/>
        <v>#REF!</v>
      </c>
      <c r="R7" s="206">
        <f t="shared" si="3"/>
        <v>145454</v>
      </c>
    </row>
    <row r="8" spans="1:18" ht="18" customHeight="1">
      <c r="A8" s="207">
        <v>4</v>
      </c>
      <c r="B8" s="208" t="s">
        <v>1011</v>
      </c>
      <c r="C8" s="209" t="s">
        <v>7</v>
      </c>
      <c r="D8" s="196" t="e">
        <f>#REF!</f>
        <v>#REF!</v>
      </c>
      <c r="E8" s="210">
        <v>127273</v>
      </c>
      <c r="F8" s="211" t="e">
        <f t="shared" si="0"/>
        <v>#REF!</v>
      </c>
      <c r="G8" s="199" t="e">
        <f>#REF!</f>
        <v>#REF!</v>
      </c>
      <c r="H8" s="215">
        <v>127273</v>
      </c>
      <c r="I8" s="212" t="e">
        <f t="shared" si="1"/>
        <v>#REF!</v>
      </c>
      <c r="J8" s="202" t="e">
        <f>#REF!</f>
        <v>#REF!</v>
      </c>
      <c r="K8" s="213">
        <v>200000</v>
      </c>
      <c r="L8" s="214"/>
      <c r="M8" s="202" t="e">
        <f>#REF!</f>
        <v>#REF!</v>
      </c>
      <c r="N8" s="213">
        <v>219091</v>
      </c>
      <c r="O8" s="214" t="e">
        <f t="shared" si="5"/>
        <v>#REF!</v>
      </c>
      <c r="P8" s="205" t="e">
        <f t="shared" si="4"/>
        <v>#REF!</v>
      </c>
      <c r="Q8" s="206" t="e">
        <f t="shared" si="3"/>
        <v>#REF!</v>
      </c>
      <c r="R8" s="206">
        <f t="shared" si="3"/>
        <v>219091</v>
      </c>
    </row>
    <row r="9" spans="1:18" ht="18" customHeight="1">
      <c r="A9" s="216">
        <v>5</v>
      </c>
      <c r="B9" s="208" t="s">
        <v>28</v>
      </c>
      <c r="C9" s="209" t="s">
        <v>7</v>
      </c>
      <c r="D9" s="196" t="e">
        <f>#REF!</f>
        <v>#REF!</v>
      </c>
      <c r="E9" s="210">
        <v>227273</v>
      </c>
      <c r="F9" s="211" t="e">
        <f t="shared" si="0"/>
        <v>#REF!</v>
      </c>
      <c r="G9" s="199" t="e">
        <f>#REF!</f>
        <v>#REF!</v>
      </c>
      <c r="H9" s="215">
        <v>231818</v>
      </c>
      <c r="I9" s="212" t="e">
        <f t="shared" si="1"/>
        <v>#REF!</v>
      </c>
      <c r="J9" s="202" t="e">
        <f>#REF!</f>
        <v>#REF!</v>
      </c>
      <c r="K9" s="213">
        <v>236364</v>
      </c>
      <c r="L9" s="214"/>
      <c r="M9" s="202" t="e">
        <f>#REF!</f>
        <v>#REF!</v>
      </c>
      <c r="N9" s="213">
        <v>254545</v>
      </c>
      <c r="O9" s="214" t="e">
        <f t="shared" si="5"/>
        <v>#REF!</v>
      </c>
      <c r="P9" s="205" t="e">
        <f t="shared" si="4"/>
        <v>#REF!</v>
      </c>
      <c r="Q9" s="206" t="e">
        <f t="shared" si="3"/>
        <v>#REF!</v>
      </c>
      <c r="R9" s="206">
        <f t="shared" si="3"/>
        <v>254545</v>
      </c>
    </row>
    <row r="10" spans="1:18" ht="18" customHeight="1">
      <c r="A10" s="216">
        <v>6</v>
      </c>
      <c r="B10" s="208" t="s">
        <v>79</v>
      </c>
      <c r="C10" s="209" t="s">
        <v>7</v>
      </c>
      <c r="D10" s="196" t="e">
        <f>#REF!</f>
        <v>#REF!</v>
      </c>
      <c r="E10" s="210">
        <v>190909</v>
      </c>
      <c r="F10" s="211" t="e">
        <f t="shared" si="0"/>
        <v>#REF!</v>
      </c>
      <c r="G10" s="199" t="e">
        <f>#REF!</f>
        <v>#REF!</v>
      </c>
      <c r="H10" s="215">
        <v>209091</v>
      </c>
      <c r="I10" s="212" t="e">
        <f t="shared" si="1"/>
        <v>#REF!</v>
      </c>
      <c r="J10" s="202" t="e">
        <f>#REF!</f>
        <v>#REF!</v>
      </c>
      <c r="K10" s="213">
        <v>200000</v>
      </c>
      <c r="L10" s="214"/>
      <c r="M10" s="202" t="e">
        <f>#REF!</f>
        <v>#REF!</v>
      </c>
      <c r="N10" s="213">
        <v>227272</v>
      </c>
      <c r="O10" s="214" t="e">
        <f t="shared" si="5"/>
        <v>#REF!</v>
      </c>
      <c r="P10" s="205" t="e">
        <f t="shared" si="4"/>
        <v>#REF!</v>
      </c>
      <c r="Q10" s="206" t="e">
        <f t="shared" si="3"/>
        <v>#REF!</v>
      </c>
      <c r="R10" s="206">
        <f t="shared" si="3"/>
        <v>227272</v>
      </c>
    </row>
    <row r="11" spans="1:18" ht="18" customHeight="1">
      <c r="A11" s="216">
        <v>7</v>
      </c>
      <c r="B11" s="208" t="s">
        <v>553</v>
      </c>
      <c r="C11" s="209" t="s">
        <v>7</v>
      </c>
      <c r="D11" s="196" t="e">
        <f>#REF!</f>
        <v>#REF!</v>
      </c>
      <c r="E11" s="210">
        <v>172727</v>
      </c>
      <c r="F11" s="211" t="e">
        <f t="shared" si="0"/>
        <v>#REF!</v>
      </c>
      <c r="G11" s="199" t="e">
        <f>#REF!</f>
        <v>#REF!</v>
      </c>
      <c r="H11" s="215">
        <v>163636</v>
      </c>
      <c r="I11" s="212" t="e">
        <f t="shared" si="1"/>
        <v>#REF!</v>
      </c>
      <c r="J11" s="202" t="e">
        <f>#REF!</f>
        <v>#REF!</v>
      </c>
      <c r="K11" s="213">
        <v>163636</v>
      </c>
      <c r="L11" s="214"/>
      <c r="M11" s="202" t="e">
        <f>#REF!</f>
        <v>#REF!</v>
      </c>
      <c r="N11" s="213">
        <v>222727</v>
      </c>
      <c r="O11" s="214" t="e">
        <f t="shared" si="5"/>
        <v>#REF!</v>
      </c>
      <c r="P11" s="205" t="e">
        <f t="shared" si="4"/>
        <v>#REF!</v>
      </c>
      <c r="Q11" s="206" t="e">
        <f t="shared" si="3"/>
        <v>#REF!</v>
      </c>
      <c r="R11" s="206">
        <f t="shared" si="3"/>
        <v>222727</v>
      </c>
    </row>
    <row r="12" spans="1:18" ht="18" customHeight="1">
      <c r="A12" s="217">
        <v>8</v>
      </c>
      <c r="B12" s="218" t="s">
        <v>1012</v>
      </c>
      <c r="C12" s="219" t="s">
        <v>7</v>
      </c>
      <c r="D12" s="220" t="e">
        <f>#REF!</f>
        <v>#REF!</v>
      </c>
      <c r="E12" s="221">
        <v>109091</v>
      </c>
      <c r="F12" s="222" t="e">
        <f t="shared" si="0"/>
        <v>#REF!</v>
      </c>
      <c r="G12" s="223" t="e">
        <f>#REF!</f>
        <v>#REF!</v>
      </c>
      <c r="H12" s="223">
        <v>100000</v>
      </c>
      <c r="I12" s="212" t="e">
        <f t="shared" si="1"/>
        <v>#REF!</v>
      </c>
      <c r="J12" s="224" t="e">
        <f>#REF!</f>
        <v>#REF!</v>
      </c>
      <c r="K12" s="213">
        <v>110000</v>
      </c>
      <c r="L12" s="214"/>
      <c r="M12" s="224" t="e">
        <f>#REF!</f>
        <v>#REF!</v>
      </c>
      <c r="N12" s="224">
        <v>115454</v>
      </c>
      <c r="O12" s="214" t="e">
        <f t="shared" si="5"/>
        <v>#REF!</v>
      </c>
      <c r="P12" s="205" t="e">
        <f t="shared" si="4"/>
        <v>#REF!</v>
      </c>
      <c r="Q12" s="206" t="e">
        <f t="shared" si="3"/>
        <v>#REF!</v>
      </c>
      <c r="R12" s="206">
        <f t="shared" si="3"/>
        <v>115454</v>
      </c>
    </row>
    <row r="13" spans="1:18" ht="36.75" customHeight="1" thickBot="1">
      <c r="A13" s="225"/>
      <c r="B13" s="226" t="s">
        <v>1013</v>
      </c>
      <c r="C13" s="227" t="str">
        <f>"Chän "&amp;P13&amp;" cung cÊp vËt liÖu phôc vô c«ng tr×nh"</f>
        <v>Chän Má ®¸ Mü Trang cung cÊp vËt liÖu phôc vô c«ng tr×nh</v>
      </c>
      <c r="D13" s="228"/>
      <c r="E13" s="228"/>
      <c r="F13" s="229"/>
      <c r="G13" s="229"/>
      <c r="H13" s="229"/>
      <c r="I13" s="229"/>
      <c r="J13" s="229"/>
      <c r="K13" s="229"/>
      <c r="L13" s="229"/>
      <c r="M13" s="229"/>
      <c r="N13" s="229"/>
      <c r="O13" s="229"/>
      <c r="P13" s="230" t="str">
        <f>M3</f>
        <v>Má ®¸ Mü Trang</v>
      </c>
      <c r="Q13" s="231"/>
      <c r="R13" s="231"/>
    </row>
    <row r="14" spans="1:18" ht="18" customHeight="1">
      <c r="A14" s="232"/>
      <c r="B14" s="233"/>
      <c r="C14" s="234"/>
      <c r="D14" s="235"/>
      <c r="E14" s="235"/>
      <c r="F14" s="236"/>
      <c r="G14" s="236"/>
      <c r="H14" s="236"/>
      <c r="I14" s="236"/>
      <c r="J14" s="236"/>
      <c r="K14" s="236"/>
      <c r="L14" s="236"/>
      <c r="M14" s="236"/>
      <c r="N14" s="236"/>
      <c r="O14" s="236"/>
      <c r="P14" s="237"/>
      <c r="Q14" s="238"/>
      <c r="R14" s="238"/>
    </row>
    <row r="15" spans="1:18" ht="18" customHeight="1" thickBot="1">
      <c r="A15" s="1058" t="s">
        <v>202</v>
      </c>
      <c r="B15" s="187" t="s">
        <v>1825</v>
      </c>
    </row>
    <row r="16" spans="1:18" ht="18" customHeight="1">
      <c r="A16" s="1214" t="s">
        <v>136</v>
      </c>
      <c r="B16" s="1216" t="s">
        <v>168</v>
      </c>
      <c r="C16" s="1216" t="s">
        <v>142</v>
      </c>
      <c r="D16" s="1218" t="s">
        <v>1828</v>
      </c>
      <c r="E16" s="1218"/>
      <c r="F16" s="1218"/>
      <c r="G16" s="1219" t="s">
        <v>1829</v>
      </c>
      <c r="H16" s="1219"/>
      <c r="I16" s="1219"/>
      <c r="J16" s="1218" t="s">
        <v>1830</v>
      </c>
      <c r="K16" s="1218"/>
      <c r="L16" s="1218"/>
      <c r="M16" s="1220"/>
      <c r="N16" s="1220"/>
      <c r="O16" s="1220"/>
      <c r="P16" s="1209" t="s">
        <v>1831</v>
      </c>
      <c r="Q16" s="1211" t="s">
        <v>1006</v>
      </c>
      <c r="R16" s="1212"/>
    </row>
    <row r="17" spans="1:18" ht="30">
      <c r="A17" s="1215"/>
      <c r="B17" s="1217"/>
      <c r="C17" s="1217"/>
      <c r="D17" s="188" t="s">
        <v>1007</v>
      </c>
      <c r="E17" s="188" t="s">
        <v>1008</v>
      </c>
      <c r="F17" s="188" t="s">
        <v>1009</v>
      </c>
      <c r="G17" s="189" t="s">
        <v>1007</v>
      </c>
      <c r="H17" s="189" t="s">
        <v>1008</v>
      </c>
      <c r="I17" s="189" t="s">
        <v>1009</v>
      </c>
      <c r="J17" s="190" t="s">
        <v>1007</v>
      </c>
      <c r="K17" s="190" t="s">
        <v>1008</v>
      </c>
      <c r="L17" s="190" t="s">
        <v>1009</v>
      </c>
      <c r="M17" s="190" t="s">
        <v>1007</v>
      </c>
      <c r="N17" s="190" t="s">
        <v>1008</v>
      </c>
      <c r="O17" s="190" t="s">
        <v>1009</v>
      </c>
      <c r="P17" s="1210"/>
      <c r="Q17" s="192" t="s">
        <v>1010</v>
      </c>
      <c r="R17" s="191" t="s">
        <v>1008</v>
      </c>
    </row>
    <row r="18" spans="1:18" ht="15.75">
      <c r="A18" s="193">
        <v>1</v>
      </c>
      <c r="B18" s="1056" t="s">
        <v>1827</v>
      </c>
      <c r="C18" s="195" t="s">
        <v>7</v>
      </c>
      <c r="D18" s="196" t="e">
        <f>#REF!</f>
        <v>#REF!</v>
      </c>
      <c r="E18" s="197">
        <v>154922</v>
      </c>
      <c r="F18" s="198" t="e">
        <f t="shared" ref="F18:F19" si="6">D18+E18</f>
        <v>#REF!</v>
      </c>
      <c r="G18" s="199" t="e">
        <f>#REF!</f>
        <v>#REF!</v>
      </c>
      <c r="H18" s="200">
        <v>136364</v>
      </c>
      <c r="I18" s="201" t="e">
        <f t="shared" ref="I18:I19" si="7">G18+H18</f>
        <v>#REF!</v>
      </c>
      <c r="J18" s="202" t="e">
        <f>#REF!</f>
        <v>#REF!</v>
      </c>
      <c r="K18" s="203">
        <v>122273</v>
      </c>
      <c r="L18" s="204"/>
      <c r="M18" s="202"/>
      <c r="N18" s="203">
        <v>2000000</v>
      </c>
      <c r="O18" s="204">
        <f t="shared" ref="O18" si="8">M18+N18</f>
        <v>2000000</v>
      </c>
      <c r="P18" s="205" t="e">
        <f>IF(MIN(F18,I18,L18,O18)=F18,$D$16,IF(MIN(F18,I18,L18,O18)=I18,$G$16,IF(MIN(F18,I18,L18,O18)=L18,$J$16,IF(MIN(F18,I18,L18,O18)=O18,$M$16,""))))</f>
        <v>#REF!</v>
      </c>
      <c r="Q18" s="206" t="e">
        <f>IF($P$20=$D$16,D18,IF($P$20=$G$16,G18,IF($P$20=$J$16,J18,IF($P$20=$M$16,M18,0))))</f>
        <v>#REF!</v>
      </c>
      <c r="R18" s="206">
        <f>IF($P$20=$D$16,E18,IF($P$20=$G$16,H18,IF($P$20=$J$16,K18,IF($P$20=$M$16,N18,0))))</f>
        <v>136364</v>
      </c>
    </row>
    <row r="19" spans="1:18" ht="30" customHeight="1">
      <c r="A19" s="207">
        <v>2</v>
      </c>
      <c r="B19" s="1057" t="s">
        <v>1826</v>
      </c>
      <c r="C19" s="209" t="s">
        <v>7</v>
      </c>
      <c r="D19" s="196" t="e">
        <f>#REF!</f>
        <v>#REF!</v>
      </c>
      <c r="E19" s="210">
        <v>154922</v>
      </c>
      <c r="F19" s="211" t="e">
        <f t="shared" si="6"/>
        <v>#REF!</v>
      </c>
      <c r="G19" s="199" t="e">
        <f>#REF!</f>
        <v>#REF!</v>
      </c>
      <c r="H19" s="200">
        <v>136364</v>
      </c>
      <c r="I19" s="212" t="e">
        <f t="shared" si="7"/>
        <v>#REF!</v>
      </c>
      <c r="J19" s="202" t="e">
        <f>#REF!</f>
        <v>#REF!</v>
      </c>
      <c r="K19" s="203">
        <v>122273</v>
      </c>
      <c r="L19" s="214"/>
      <c r="M19" s="202"/>
      <c r="N19" s="203">
        <v>2000000</v>
      </c>
      <c r="O19" s="214">
        <f>M19+N19</f>
        <v>2000000</v>
      </c>
      <c r="P19" s="205" t="e">
        <f>IF(MIN(F19,I19,L19,O19)=F19,$D$16,IF(MIN(F19,I19,L19,O19)=I19,$G$16,IF(MIN(F19,I19,L19,O19)=L19,$J$16,IF(MIN(F19,I19,L19,O19)=O19,$M$16,""))))</f>
        <v>#REF!</v>
      </c>
      <c r="Q19" s="206" t="e">
        <f>IF($P$20=$D$16,D19,IF($P$20=$G$16,G19,IF($P$20=$J$16,J19,IF($P$20=$M$16,M19,0))))</f>
        <v>#REF!</v>
      </c>
      <c r="R19" s="206">
        <f>IF($P$20=$D$16,E19,IF($P$20=$G$16,H19,IF($P$20=$J$16,K19,IF($P$20=$M$16,N19,0))))</f>
        <v>136364</v>
      </c>
    </row>
    <row r="20" spans="1:18" ht="32.25" thickBot="1">
      <c r="A20" s="225"/>
      <c r="B20" s="226" t="s">
        <v>1013</v>
      </c>
      <c r="C20" s="227" t="str">
        <f>"Chän "&amp;P20&amp;" cung cÊp vËt liÖu phôc vô c«ng tr×nh"</f>
        <v>Chän Má c¸t NghÜa LËp - §øc HiÖp cung cÊp vËt liÖu phôc vô c«ng tr×nh</v>
      </c>
      <c r="D20" s="228"/>
      <c r="E20" s="228"/>
      <c r="F20" s="229"/>
      <c r="G20" s="229"/>
      <c r="H20" s="229"/>
      <c r="I20" s="229"/>
      <c r="J20" s="229"/>
      <c r="K20" s="229"/>
      <c r="L20" s="229"/>
      <c r="M20" s="229"/>
      <c r="N20" s="229"/>
      <c r="O20" s="229"/>
      <c r="P20" s="230" t="str">
        <f>G16</f>
        <v>Má c¸t NghÜa LËp - §øc HiÖp</v>
      </c>
      <c r="Q20" s="231"/>
      <c r="R20" s="231"/>
    </row>
    <row r="21" spans="1:18" ht="18" customHeight="1">
      <c r="A21" s="232"/>
      <c r="B21" s="233"/>
      <c r="C21" s="234"/>
      <c r="D21" s="235"/>
      <c r="E21" s="235"/>
      <c r="F21" s="236"/>
      <c r="G21" s="236"/>
      <c r="H21" s="236"/>
      <c r="I21" s="236"/>
      <c r="J21" s="236"/>
      <c r="K21" s="236"/>
      <c r="L21" s="236"/>
      <c r="M21" s="236"/>
      <c r="N21" s="236"/>
      <c r="O21" s="236"/>
      <c r="P21" s="237"/>
      <c r="Q21" s="238"/>
      <c r="R21" s="238"/>
    </row>
    <row r="23" spans="1:18" ht="16.5" thickBot="1">
      <c r="A23" s="1059" t="s">
        <v>213</v>
      </c>
      <c r="B23" s="239" t="s">
        <v>1014</v>
      </c>
    </row>
    <row r="24" spans="1:18" ht="15.75" customHeight="1">
      <c r="A24" s="1214" t="s">
        <v>136</v>
      </c>
      <c r="B24" s="1216" t="s">
        <v>168</v>
      </c>
      <c r="C24" s="1216" t="s">
        <v>142</v>
      </c>
      <c r="D24" s="1223" t="s">
        <v>1015</v>
      </c>
      <c r="E24" s="1223"/>
      <c r="F24" s="1223"/>
      <c r="G24" s="1223" t="s">
        <v>1016</v>
      </c>
      <c r="H24" s="1223"/>
      <c r="I24" s="1223"/>
      <c r="J24" s="1222" t="s">
        <v>1288</v>
      </c>
      <c r="K24" s="1223"/>
      <c r="L24" s="1223"/>
      <c r="M24" s="1222" t="s">
        <v>1651</v>
      </c>
      <c r="N24" s="1223"/>
      <c r="O24" s="1223"/>
      <c r="P24" s="1221" t="s">
        <v>1017</v>
      </c>
      <c r="Q24" s="240"/>
    </row>
    <row r="25" spans="1:18" ht="30">
      <c r="A25" s="1215"/>
      <c r="B25" s="1217"/>
      <c r="C25" s="1217"/>
      <c r="D25" s="188" t="s">
        <v>1007</v>
      </c>
      <c r="E25" s="188" t="s">
        <v>1018</v>
      </c>
      <c r="F25" s="188" t="s">
        <v>1009</v>
      </c>
      <c r="G25" s="189" t="s">
        <v>1007</v>
      </c>
      <c r="H25" s="189" t="s">
        <v>1018</v>
      </c>
      <c r="I25" s="189" t="s">
        <v>1009</v>
      </c>
      <c r="J25" s="1049" t="s">
        <v>1007</v>
      </c>
      <c r="K25" s="1049" t="s">
        <v>1018</v>
      </c>
      <c r="L25" s="1049" t="s">
        <v>1009</v>
      </c>
      <c r="M25" s="190" t="s">
        <v>1007</v>
      </c>
      <c r="N25" s="190" t="s">
        <v>1018</v>
      </c>
      <c r="O25" s="190" t="s">
        <v>1009</v>
      </c>
      <c r="P25" s="1210"/>
      <c r="Q25" s="240"/>
    </row>
    <row r="26" spans="1:18" ht="15.75">
      <c r="A26" s="193">
        <v>1</v>
      </c>
      <c r="B26" s="194" t="s">
        <v>1019</v>
      </c>
      <c r="C26" s="195" t="s">
        <v>59</v>
      </c>
      <c r="D26" s="196" t="e">
        <f>#REF!</f>
        <v>#REF!</v>
      </c>
      <c r="E26" s="197" t="e">
        <f>#REF!</f>
        <v>#REF!</v>
      </c>
      <c r="F26" s="198" t="e">
        <f>D26+E26</f>
        <v>#REF!</v>
      </c>
      <c r="G26" s="199" t="e">
        <f>#REF!</f>
        <v>#REF!</v>
      </c>
      <c r="H26" s="241" t="e">
        <f>#REF!</f>
        <v>#REF!</v>
      </c>
      <c r="I26" s="199" t="e">
        <f>G26+H26</f>
        <v>#REF!</v>
      </c>
      <c r="J26" s="1050" t="e">
        <f>#REF!</f>
        <v>#REF!</v>
      </c>
      <c r="K26" s="1051" t="e">
        <f>#REF!</f>
        <v>#REF!</v>
      </c>
      <c r="L26" s="1052" t="e">
        <f>J26+K26</f>
        <v>#REF!</v>
      </c>
      <c r="M26" s="202" t="e">
        <f>#REF!</f>
        <v>#REF!</v>
      </c>
      <c r="N26" s="203" t="e">
        <f>#REF!</f>
        <v>#REF!</v>
      </c>
      <c r="O26" s="204" t="e">
        <f>M26+N26</f>
        <v>#REF!</v>
      </c>
      <c r="P26" s="205" t="e">
        <f>IF(MIN(F26,I26,L26)=F26,$D$24,IF(MIN(F26,I26,L26)=I26,$G$24,IF(MIN(F26,I26,L26)=L26,$J$24,IF(MIN(F26,I26,L26)=O26,$M$24,""))))</f>
        <v>#REF!</v>
      </c>
      <c r="Q26" s="242"/>
    </row>
    <row r="27" spans="1:18" ht="15.75">
      <c r="A27" s="243">
        <v>2</v>
      </c>
      <c r="B27" s="218" t="s">
        <v>1020</v>
      </c>
      <c r="C27" s="219" t="s">
        <v>59</v>
      </c>
      <c r="D27" s="220" t="e">
        <f>#REF!</f>
        <v>#REF!</v>
      </c>
      <c r="E27" s="221" t="e">
        <f>#REF!</f>
        <v>#REF!</v>
      </c>
      <c r="F27" s="222" t="e">
        <f>D27+E27</f>
        <v>#REF!</v>
      </c>
      <c r="G27" s="223" t="e">
        <f>#REF!</f>
        <v>#REF!</v>
      </c>
      <c r="H27" s="244" t="e">
        <f>#REF!</f>
        <v>#REF!</v>
      </c>
      <c r="I27" s="223" t="e">
        <f>G27+H27</f>
        <v>#REF!</v>
      </c>
      <c r="J27" s="1053" t="e">
        <f>#REF!</f>
        <v>#REF!</v>
      </c>
      <c r="K27" s="1054" t="e">
        <f>#REF!</f>
        <v>#REF!</v>
      </c>
      <c r="L27" s="1055" t="e">
        <f>J27+K27</f>
        <v>#REF!</v>
      </c>
      <c r="M27" s="224" t="e">
        <f>#REF!</f>
        <v>#REF!</v>
      </c>
      <c r="N27" s="245" t="e">
        <f>#REF!</f>
        <v>#REF!</v>
      </c>
      <c r="O27" s="246" t="e">
        <f>M27+N27</f>
        <v>#REF!</v>
      </c>
      <c r="P27" s="205" t="e">
        <f>IF(MIN(F27,I27,L27)=F27,$D$24,IF(MIN(F27,I27,L27)=I27,$G$24,IF(MIN(F27,I27,L27)=L27,$J$24,IF(MIN(F27,I27,L27)=O27,$M$24,""))))</f>
        <v>#REF!</v>
      </c>
      <c r="Q27" s="242"/>
    </row>
    <row r="28" spans="1:18" ht="35.25" customHeight="1" thickBot="1">
      <c r="A28" s="225"/>
      <c r="B28" s="226" t="s">
        <v>1013</v>
      </c>
      <c r="C28" s="247" t="e">
        <f>"Chän "&amp;P28&amp;" cung cÊp vËt liÖu phôc vô c«ng tr×nh"</f>
        <v>#REF!</v>
      </c>
      <c r="D28" s="248"/>
      <c r="E28" s="248"/>
      <c r="F28" s="249"/>
      <c r="G28" s="249"/>
      <c r="H28" s="249"/>
      <c r="I28" s="249"/>
      <c r="J28" s="249"/>
      <c r="K28" s="249"/>
      <c r="L28" s="249"/>
      <c r="M28" s="249"/>
      <c r="N28" s="249"/>
      <c r="O28" s="249"/>
      <c r="P28" s="250" t="e">
        <f>P27</f>
        <v>#REF!</v>
      </c>
      <c r="Q28" s="236"/>
    </row>
  </sheetData>
  <mergeCells count="27">
    <mergeCell ref="J24:L24"/>
    <mergeCell ref="P24:P25"/>
    <mergeCell ref="M24:O24"/>
    <mergeCell ref="M3:O3"/>
    <mergeCell ref="A16:A17"/>
    <mergeCell ref="B16:B17"/>
    <mergeCell ref="C16:C17"/>
    <mergeCell ref="D16:F16"/>
    <mergeCell ref="G16:I16"/>
    <mergeCell ref="J16:L16"/>
    <mergeCell ref="A24:A25"/>
    <mergeCell ref="B24:B25"/>
    <mergeCell ref="C24:C25"/>
    <mergeCell ref="D24:F24"/>
    <mergeCell ref="G24:I24"/>
    <mergeCell ref="M16:O16"/>
    <mergeCell ref="P16:P17"/>
    <mergeCell ref="Q16:R16"/>
    <mergeCell ref="A1:P1"/>
    <mergeCell ref="A3:A4"/>
    <mergeCell ref="B3:B4"/>
    <mergeCell ref="C3:C4"/>
    <mergeCell ref="D3:F3"/>
    <mergeCell ref="G3:I3"/>
    <mergeCell ref="J3:L3"/>
    <mergeCell ref="P3:P4"/>
    <mergeCell ref="Q3:R3"/>
  </mergeCells>
  <pageMargins left="0.2" right="0.2" top="0.75" bottom="0.5" header="0.3" footer="0.3"/>
  <pageSetup paperSize="9" scale="9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22</vt:i4>
      </vt:variant>
    </vt:vector>
  </HeadingPairs>
  <TitlesOfParts>
    <vt:vector size="37" baseType="lpstr">
      <vt:lpstr>foxz</vt:lpstr>
      <vt:lpstr>Docso</vt:lpstr>
      <vt:lpstr>HS</vt:lpstr>
      <vt:lpstr>TongDT</vt:lpstr>
      <vt:lpstr>Khaosat</vt:lpstr>
      <vt:lpstr>PT giaKS</vt:lpstr>
      <vt:lpstr>VLKS</vt:lpstr>
      <vt:lpstr>NC,M KS</vt:lpstr>
      <vt:lpstr>XLGT</vt:lpstr>
      <vt:lpstr>BDGT</vt:lpstr>
      <vt:lpstr>Du toan chi tiet</vt:lpstr>
      <vt:lpstr>duc pho</vt:lpstr>
      <vt:lpstr>KL cac huyen</vt:lpstr>
      <vt:lpstr>Gia VL</vt:lpstr>
      <vt:lpstr>SSVL</vt:lpstr>
      <vt:lpstr>bcks</vt:lpstr>
      <vt:lpstr>cpc</vt:lpstr>
      <vt:lpstr>Doc</vt:lpstr>
      <vt:lpstr>hmc</vt:lpstr>
      <vt:lpstr>hsm</vt:lpstr>
      <vt:lpstr>hsnc</vt:lpstr>
      <vt:lpstr>hsvl</vt:lpstr>
      <vt:lpstr>paks</vt:lpstr>
      <vt:lpstr>'duc pho'!Print_Area</vt:lpstr>
      <vt:lpstr>SSVL!Print_Area</vt:lpstr>
      <vt:lpstr>TongDT!Print_Area</vt:lpstr>
      <vt:lpstr>'Du toan chi tiet'!Print_Titles</vt:lpstr>
      <vt:lpstr>'duc pho'!Print_Titles</vt:lpstr>
      <vt:lpstr>'Gia VL'!Print_Titles</vt:lpstr>
      <vt:lpstr>Khaosat!Print_Titles</vt:lpstr>
      <vt:lpstr>'NC,M KS'!Print_Titles</vt:lpstr>
      <vt:lpstr>'PT giaKS'!Print_Titles</vt:lpstr>
      <vt:lpstr>TongDT!Print_Titles</vt:lpstr>
      <vt:lpstr>VLKS!Print_Titles</vt:lpstr>
      <vt:lpstr>tmdt</vt:lpstr>
      <vt:lpstr>tn</vt:lpstr>
      <vt:lpstr>xl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10</cp:lastModifiedBy>
  <cp:lastPrinted>2024-11-25T08:33:54Z</cp:lastPrinted>
  <dcterms:created xsi:type="dcterms:W3CDTF">2020-02-29T08:52:23Z</dcterms:created>
  <dcterms:modified xsi:type="dcterms:W3CDTF">2024-11-25T08:34:38Z</dcterms:modified>
</cp:coreProperties>
</file>